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1" activeTab="0"/>
  </bookViews>
  <sheets>
    <sheet name="12 luni an.2019" sheetId="1" r:id="rId1"/>
  </sheets>
  <definedNames>
    <definedName name="_xlnm.Print_Area" localSheetId="0">'12 luni an.2019'!$A$1:$K$84</definedName>
    <definedName name="_xlnm.Print_Titles" localSheetId="0">'12 luni an.2019'!$5:$5</definedName>
  </definedNames>
  <calcPr fullCalcOnLoad="1"/>
</workbook>
</file>

<file path=xl/sharedStrings.xml><?xml version="1.0" encoding="utf-8"?>
<sst xmlns="http://schemas.openxmlformats.org/spreadsheetml/2006/main" count="90" uniqueCount="90">
  <si>
    <t>Anexa nr.1</t>
  </si>
  <si>
    <t xml:space="preserve">Analiza veniturilor şi cheltuielilor aferente  anului 2019 în comparaţie cu anul 2018                                             </t>
  </si>
  <si>
    <t>Nr. d/o</t>
  </si>
  <si>
    <t>Articolul de venituri/cheltuieli</t>
  </si>
  <si>
    <t>Ianuarie-septembrie an.2018,         mii lei</t>
  </si>
  <si>
    <t>Octombrie-decembrie an.2018,               mii lei</t>
  </si>
  <si>
    <t>Anul 2018, mii lei</t>
  </si>
  <si>
    <t>Ianuarie-septembrie an.2019, mii lei</t>
  </si>
  <si>
    <t>Octombrie-decembrie an.2019,               mii lei</t>
  </si>
  <si>
    <t>Anul 2019, mii lei</t>
  </si>
  <si>
    <t>Abaterea     (a.2019-a.2018),+ - ,     mii lei</t>
  </si>
  <si>
    <t>Abaterea,           a.2019/ a.2018,                            %</t>
  </si>
  <si>
    <t>Venituri de la expozitiile                                                                                           CIE "Moldexpo" SA, inclusiv:</t>
  </si>
  <si>
    <t>Expozitia "Beauty"</t>
  </si>
  <si>
    <r>
      <t xml:space="preserve">Expozitia "Moldagrotech - spring", </t>
    </r>
    <r>
      <rPr>
        <i/>
        <sz val="10"/>
        <color indexed="8"/>
        <rFont val="Times New Roman"/>
        <family val="1"/>
      </rPr>
      <t>inclusiv</t>
    </r>
    <r>
      <rPr>
        <i/>
        <sz val="14"/>
        <color indexed="8"/>
        <rFont val="Times New Roman"/>
        <family val="1"/>
      </rPr>
      <t xml:space="preserve"> Iarmaroc</t>
    </r>
  </si>
  <si>
    <t>Expozitia "Moldconstruct"</t>
  </si>
  <si>
    <t>Expozitia "Moldenergy"</t>
  </si>
  <si>
    <t>Expoziția ”Tourism.Leisure.Hotels”</t>
  </si>
  <si>
    <t>Târgul de Florii</t>
  </si>
  <si>
    <t>Expoziția ”Food&amp;Drinks”</t>
  </si>
  <si>
    <t>Expoziția ”Food Technology”</t>
  </si>
  <si>
    <t>Expoziția ”Packaging .Depot”</t>
  </si>
  <si>
    <t>Expoziția ”Kid"s Expo”</t>
  </si>
  <si>
    <t>Târg școlar</t>
  </si>
  <si>
    <t>Expoziția ”Moldmedizin&amp;Molddent”</t>
  </si>
  <si>
    <t>Expoziția”Farmer”</t>
  </si>
  <si>
    <t>Expoziția ”Moldagrotech-autumn”</t>
  </si>
  <si>
    <t>Expoziția ”International Fashion Expo”</t>
  </si>
  <si>
    <t>Expoziția ”ExpoMobila”</t>
  </si>
  <si>
    <t xml:space="preserve">Expoziția ”Crăciunul Acasă” </t>
  </si>
  <si>
    <t>Alte venituri expoziționale</t>
  </si>
  <si>
    <t xml:space="preserve">Venit de la expozitiile desfasurate si construcţia standurilor altor companii în incinta pavilionului, de la construcţia şi arenda utilajului în afara Centrului </t>
  </si>
  <si>
    <t>Venit din arenda teritoriului si incaperilor, utilizarea instalaţiilor</t>
  </si>
  <si>
    <t>Alte venituri (activităţi secundare)</t>
  </si>
  <si>
    <t xml:space="preserve">Venituri din activitatea financiară </t>
  </si>
  <si>
    <t>Total venituri din activitatea ordinară</t>
  </si>
  <si>
    <t>Venit primit din calculul uzurii şi casării activelor primite cu titlu gratuit</t>
  </si>
  <si>
    <t>Venituri primite din finanțare pentru desfășurarea expoziției DUBAI 2020</t>
  </si>
  <si>
    <t>Venit primit din diferenţa de curs valutar și de sumă</t>
  </si>
  <si>
    <t>Venit primit din subvenţionare şi sponsorizare</t>
  </si>
  <si>
    <t>Total venituri din activitatea excepţională</t>
  </si>
  <si>
    <t>Total venituri</t>
  </si>
  <si>
    <t xml:space="preserve">Cheltuieli </t>
  </si>
  <si>
    <t>Retribuirea muncii, inclusiv:</t>
  </si>
  <si>
    <t xml:space="preserve"> - cheltuieli privind indemnizaţiile pentru incapacitate temporară de muncă calculate din contul angajatorului</t>
  </si>
  <si>
    <t>Remunerare conform contractelor de munca prestări servicii</t>
  </si>
  <si>
    <t>Salariul Consiliului de administraţie si Comisiei de Cenzori</t>
  </si>
  <si>
    <t>Asigurarea obligatorie de asistenta sociala si medicala</t>
  </si>
  <si>
    <t>Servicii comunale, inclusiv:</t>
  </si>
  <si>
    <t xml:space="preserve"> - energia electrică</t>
  </si>
  <si>
    <t xml:space="preserve"> - consumul de gaze</t>
  </si>
  <si>
    <t xml:space="preserve"> - apa şi canalizare </t>
  </si>
  <si>
    <t xml:space="preserve"> - preepurarea apei</t>
  </si>
  <si>
    <t>Servicii de paza</t>
  </si>
  <si>
    <t>Uzura mijloacelor fixe şi a activelor nemateriale, amortizarea investitiilor imobiliare</t>
  </si>
  <si>
    <t>Uzura obiectelor de mica valoare şi scurtă durată</t>
  </si>
  <si>
    <t>Reparaţia şi întreţinerea mijloacelor fixe şi obiectelor de mica valoare şi scurtă durată</t>
  </si>
  <si>
    <t>Servicii de curăţenie şi salubrizare a teritoriului</t>
  </si>
  <si>
    <t>Materiale  utilizate în decursul anului (inclusiv combustibil)</t>
  </si>
  <si>
    <t>Publicitate și marketing</t>
  </si>
  <si>
    <t>Deservire  fourchette</t>
  </si>
  <si>
    <t>Alte cheltuieli pentru pregătirea şi desfăşurarea expoziţiilor (evenimente organizate, montarea-demontarea corturilor, chiria utilajului, servicii de décor, comision de agent,  ...)</t>
  </si>
  <si>
    <t>Deplasări</t>
  </si>
  <si>
    <t>Cheltuieli p/u convorbirile telefonice şi utilizarea internetului</t>
  </si>
  <si>
    <t xml:space="preserve">Serviciile juridice </t>
  </si>
  <si>
    <t>Serviciile de consultanţă</t>
  </si>
  <si>
    <t>Serviciile bancare și dobînda de leasing</t>
  </si>
  <si>
    <t>Asigurarea bunurilor</t>
  </si>
  <si>
    <t>Ajutorul material</t>
  </si>
  <si>
    <t>Impozite şi taxe calculate</t>
  </si>
  <si>
    <t>Cheltuieli aferente imobilizărilor corporale si necorporale ieşite (valoarea contabilă a imobilizărilor)</t>
  </si>
  <si>
    <t>Alte cheltuieli  (cotizatii de membru,cheltuieli vamale,deservirea sistemulu contabil si jurist, demontarea panourilor s.a.)</t>
  </si>
  <si>
    <t xml:space="preserve"> - cotizatii de membru</t>
  </si>
  <si>
    <t xml:space="preserve"> - cheltuieli vamale</t>
  </si>
  <si>
    <t xml:space="preserve"> - pregatirea profesionala şi participări la seminare</t>
  </si>
  <si>
    <t xml:space="preserve"> - deservirea sistemului antiincendiar</t>
  </si>
  <si>
    <t xml:space="preserve"> - deservirea sistemului contabil</t>
  </si>
  <si>
    <t xml:space="preserve"> - servicii de cadastru şi proiectări</t>
  </si>
  <si>
    <t xml:space="preserve"> - deservirea sistemului jurist</t>
  </si>
  <si>
    <t xml:space="preserve"> - servicii de audit și consultanță</t>
  </si>
  <si>
    <t xml:space="preserve"> - servicii de analiză financiară</t>
  </si>
  <si>
    <t xml:space="preserve"> - asigurarea angajatilor cu prinz /oferirea tichetelor de masă</t>
  </si>
  <si>
    <t xml:space="preserve"> - altele</t>
  </si>
  <si>
    <t>Total cheltuieli din activitatea ordinară</t>
  </si>
  <si>
    <t>Calculul uzurii şi casării activelor primite cu titlu gratuit</t>
  </si>
  <si>
    <t>Cheltuieli pentru desfășurarea expoziției DUBAI 2020</t>
  </si>
  <si>
    <t>Cheltuieli din diferenţa de curs valutar și de suma</t>
  </si>
  <si>
    <t>Total cheltuieli din activitatea excepţională</t>
  </si>
  <si>
    <t>Total cheltuieli</t>
  </si>
  <si>
    <t>Profitul perioadei de gestiune pînă la impozitare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</si>
</sst>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b/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3" fillId="0" borderId="1" xfId="0" applyFont="1" applyBorder="1" applyAlignment="1">
      <alignment vertical="center" wrapText="1"/>
    </xf>
    <xf numFmtId="164" fontId="3" fillId="0" borderId="2" xfId="0" applyFont="1" applyBorder="1" applyAlignment="1">
      <alignment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165" fontId="3" fillId="0" borderId="7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4" fontId="4" fillId="0" borderId="1" xfId="0" applyFont="1" applyBorder="1" applyAlignment="1">
      <alignment vertical="center" wrapText="1"/>
    </xf>
    <xf numFmtId="164" fontId="4" fillId="3" borderId="2" xfId="0" applyFont="1" applyFill="1" applyBorder="1" applyAlignment="1">
      <alignment vertical="center" wrapText="1"/>
    </xf>
    <xf numFmtId="165" fontId="4" fillId="3" borderId="7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5" fontId="4" fillId="3" borderId="8" xfId="0" applyNumberFormat="1" applyFont="1" applyFill="1" applyBorder="1" applyAlignment="1">
      <alignment horizontal="right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Border="1" applyAlignment="1">
      <alignment vertical="center" wrapText="1"/>
    </xf>
    <xf numFmtId="164" fontId="2" fillId="0" borderId="2" xfId="0" applyFont="1" applyBorder="1" applyAlignment="1">
      <alignment vertical="center" wrapText="1"/>
    </xf>
    <xf numFmtId="164" fontId="8" fillId="0" borderId="1" xfId="0" applyFont="1" applyBorder="1" applyAlignment="1">
      <alignment vertical="center" wrapText="1"/>
    </xf>
    <xf numFmtId="164" fontId="8" fillId="0" borderId="0" xfId="0" applyFont="1" applyAlignment="1">
      <alignment vertical="center" wrapText="1"/>
    </xf>
    <xf numFmtId="164" fontId="3" fillId="4" borderId="2" xfId="0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4" borderId="8" xfId="0" applyNumberFormat="1" applyFont="1" applyFill="1" applyBorder="1" applyAlignment="1">
      <alignment horizontal="right" vertical="center" wrapText="1"/>
    </xf>
    <xf numFmtId="165" fontId="3" fillId="4" borderId="2" xfId="0" applyNumberFormat="1" applyFont="1" applyFill="1" applyBorder="1" applyAlignment="1">
      <alignment horizontal="right" vertical="center" wrapText="1"/>
    </xf>
    <xf numFmtId="165" fontId="3" fillId="4" borderId="1" xfId="0" applyNumberFormat="1" applyFont="1" applyFill="1" applyBorder="1" applyAlignment="1">
      <alignment horizontal="right" vertical="center" wrapText="1"/>
    </xf>
    <xf numFmtId="167" fontId="3" fillId="0" borderId="7" xfId="0" applyNumberFormat="1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right" vertical="center" wrapText="1"/>
    </xf>
    <xf numFmtId="164" fontId="9" fillId="5" borderId="2" xfId="0" applyFont="1" applyFill="1" applyBorder="1" applyAlignment="1">
      <alignment horizontal="center" vertical="center" wrapText="1"/>
    </xf>
    <xf numFmtId="165" fontId="9" fillId="5" borderId="9" xfId="0" applyNumberFormat="1" applyFont="1" applyFill="1" applyBorder="1" applyAlignment="1">
      <alignment horizontal="center" vertical="center" wrapText="1"/>
    </xf>
    <xf numFmtId="165" fontId="9" fillId="5" borderId="10" xfId="0" applyNumberFormat="1" applyFont="1" applyFill="1" applyBorder="1" applyAlignment="1">
      <alignment horizontal="center" vertical="center" wrapText="1"/>
    </xf>
    <xf numFmtId="165" fontId="9" fillId="5" borderId="11" xfId="0" applyNumberFormat="1" applyFont="1" applyFill="1" applyBorder="1" applyAlignment="1">
      <alignment horizontal="right" vertical="center" wrapText="1"/>
    </xf>
    <xf numFmtId="165" fontId="9" fillId="5" borderId="12" xfId="0" applyNumberFormat="1" applyFont="1" applyFill="1" applyBorder="1" applyAlignment="1">
      <alignment horizontal="right" vertical="center" wrapText="1"/>
    </xf>
    <xf numFmtId="165" fontId="9" fillId="5" borderId="1" xfId="0" applyNumberFormat="1" applyFont="1" applyFill="1" applyBorder="1" applyAlignment="1">
      <alignment horizontal="right" vertical="center" wrapText="1"/>
    </xf>
    <xf numFmtId="164" fontId="3" fillId="0" borderId="1" xfId="0" applyFont="1" applyBorder="1" applyAlignment="1">
      <alignment vertical="center"/>
    </xf>
    <xf numFmtId="164" fontId="2" fillId="0" borderId="13" xfId="0" applyFont="1" applyBorder="1" applyAlignment="1">
      <alignment horizontal="center" vertical="center" wrapText="1"/>
    </xf>
    <xf numFmtId="164" fontId="2" fillId="0" borderId="13" xfId="0" applyFont="1" applyBorder="1" applyAlignment="1">
      <alignment horizontal="right" vertical="center" wrapText="1"/>
    </xf>
    <xf numFmtId="164" fontId="2" fillId="0" borderId="14" xfId="0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9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4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4" fillId="3" borderId="1" xfId="0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4" fontId="10" fillId="0" borderId="1" xfId="0" applyFont="1" applyBorder="1" applyAlignment="1">
      <alignment vertical="center" wrapText="1"/>
    </xf>
    <xf numFmtId="164" fontId="3" fillId="3" borderId="1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vertical="center" wrapText="1"/>
    </xf>
    <xf numFmtId="164" fontId="2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2" fillId="2" borderId="2" xfId="0" applyNumberFormat="1" applyFont="1" applyFill="1" applyBorder="1" applyAlignment="1">
      <alignment horizontal="right" vertical="center" wrapText="1"/>
    </xf>
    <xf numFmtId="164" fontId="2" fillId="0" borderId="0" xfId="0" applyFont="1" applyBorder="1" applyAlignment="1">
      <alignment vertical="center" wrapText="1"/>
    </xf>
    <xf numFmtId="164" fontId="2" fillId="0" borderId="13" xfId="0" applyFont="1" applyBorder="1" applyAlignment="1">
      <alignment vertical="center" wrapText="1"/>
    </xf>
    <xf numFmtId="164" fontId="11" fillId="0" borderId="0" xfId="0" applyFont="1" applyAlignment="1">
      <alignment horizontal="left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right"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vertical="center" wrapText="1"/>
    </xf>
    <xf numFmtId="164" fontId="3" fillId="4" borderId="1" xfId="0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right" vertical="center" wrapText="1"/>
    </xf>
    <xf numFmtId="164" fontId="9" fillId="2" borderId="1" xfId="0" applyFont="1" applyFill="1" applyBorder="1" applyAlignment="1">
      <alignment horizontal="left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right" vertical="center" wrapText="1"/>
    </xf>
    <xf numFmtId="165" fontId="9" fillId="2" borderId="2" xfId="0" applyNumberFormat="1" applyFont="1" applyFill="1" applyBorder="1" applyAlignment="1">
      <alignment horizontal="right" vertical="center" wrapText="1"/>
    </xf>
    <xf numFmtId="164" fontId="3" fillId="4" borderId="1" xfId="0" applyFont="1" applyFill="1" applyBorder="1" applyAlignment="1">
      <alignment horizontal="left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right" vertical="center" wrapText="1"/>
    </xf>
    <xf numFmtId="165" fontId="9" fillId="4" borderId="2" xfId="0" applyNumberFormat="1" applyFont="1" applyFill="1" applyBorder="1" applyAlignment="1">
      <alignment horizontal="right" vertical="center" wrapText="1"/>
    </xf>
    <xf numFmtId="164" fontId="2" fillId="0" borderId="0" xfId="0" applyFont="1" applyAlignment="1">
      <alignment horizontal="right" vertical="center" wrapText="1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view="pageBreakPreview" zoomScale="65" zoomScaleNormal="75" zoomScaleSheetLayoutView="65" workbookViewId="0" topLeftCell="A1">
      <pane xSplit="2" ySplit="5" topLeftCell="C31" activePane="bottomRight" state="frozen"/>
      <selection pane="topLeft" activeCell="A1" sqref="A1"/>
      <selection pane="topRight" activeCell="C1" sqref="C1"/>
      <selection pane="bottomLeft" activeCell="A31" sqref="A31"/>
      <selection pane="bottomRight" activeCell="K16" sqref="K16"/>
    </sheetView>
  </sheetViews>
  <sheetFormatPr defaultColWidth="9.140625" defaultRowHeight="15"/>
  <cols>
    <col min="1" max="1" width="7.140625" style="1" customWidth="1"/>
    <col min="2" max="2" width="62.140625" style="1" customWidth="1"/>
    <col min="3" max="4" width="0" style="2" hidden="1" customWidth="1"/>
    <col min="5" max="5" width="16.7109375" style="2" customWidth="1"/>
    <col min="6" max="7" width="0" style="2" hidden="1" customWidth="1"/>
    <col min="8" max="8" width="16.7109375" style="2" customWidth="1"/>
    <col min="9" max="9" width="17.00390625" style="2" customWidth="1"/>
    <col min="10" max="10" width="17.421875" style="2" customWidth="1"/>
    <col min="11" max="11" width="36.421875" style="1" customWidth="1"/>
    <col min="12" max="16384" width="8.8515625" style="1" customWidth="1"/>
  </cols>
  <sheetData>
    <row r="1" spans="9:10" ht="24.75" customHeight="1">
      <c r="I1" s="3" t="s">
        <v>0</v>
      </c>
      <c r="J1" s="3"/>
    </row>
    <row r="2" ht="15" customHeight="1">
      <c r="J2" s="4"/>
    </row>
    <row r="3" spans="1:10" ht="5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5" spans="1:10" s="2" customFormat="1" ht="84" customHeight="1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8" t="s">
        <v>7</v>
      </c>
      <c r="G5" s="9" t="s">
        <v>8</v>
      </c>
      <c r="H5" s="11" t="s">
        <v>9</v>
      </c>
      <c r="I5" s="6" t="s">
        <v>10</v>
      </c>
      <c r="J5" s="6" t="s">
        <v>11</v>
      </c>
    </row>
    <row r="6" spans="1:11" ht="12.75">
      <c r="A6" s="12">
        <v>1</v>
      </c>
      <c r="B6" s="13" t="s">
        <v>12</v>
      </c>
      <c r="C6" s="14">
        <f aca="true" t="shared" si="0" ref="C6:I6">SUM(C7:C24)</f>
        <v>16708.399999999998</v>
      </c>
      <c r="D6" s="15">
        <f t="shared" si="0"/>
        <v>7810.700000000001</v>
      </c>
      <c r="E6" s="16">
        <f t="shared" si="0"/>
        <v>24519.1</v>
      </c>
      <c r="F6" s="17">
        <f t="shared" si="0"/>
        <v>16864.800000000003</v>
      </c>
      <c r="G6" s="18">
        <f t="shared" si="0"/>
        <v>7509.5</v>
      </c>
      <c r="H6" s="19">
        <f t="shared" si="0"/>
        <v>24374.3</v>
      </c>
      <c r="I6" s="18">
        <f t="shared" si="0"/>
        <v>-144.79999999999973</v>
      </c>
      <c r="J6" s="20">
        <f aca="true" t="shared" si="1" ref="J6:J30">I6/E6*100</f>
        <v>-0.5905600123984964</v>
      </c>
      <c r="K6" s="21"/>
    </row>
    <row r="7" spans="1:10" ht="12.75">
      <c r="A7" s="22">
        <v>1.1</v>
      </c>
      <c r="B7" s="23" t="s">
        <v>13</v>
      </c>
      <c r="C7" s="24">
        <v>3132.7</v>
      </c>
      <c r="D7" s="25"/>
      <c r="E7" s="26">
        <f>SUM(C7:D7)</f>
        <v>3132.7</v>
      </c>
      <c r="F7" s="24">
        <v>3482.1</v>
      </c>
      <c r="G7" s="25"/>
      <c r="H7" s="27">
        <f>SUM(F7:G7)</f>
        <v>3482.1</v>
      </c>
      <c r="I7" s="25">
        <f>H7-E7</f>
        <v>349.4000000000001</v>
      </c>
      <c r="J7" s="25">
        <f t="shared" si="1"/>
        <v>11.153318223896322</v>
      </c>
    </row>
    <row r="8" spans="1:10" ht="12.75">
      <c r="A8" s="22">
        <v>1.2</v>
      </c>
      <c r="B8" s="23" t="s">
        <v>14</v>
      </c>
      <c r="C8" s="24">
        <v>3289.9</v>
      </c>
      <c r="D8" s="25"/>
      <c r="E8" s="26">
        <f aca="true" t="shared" si="2" ref="E8:E24">SUM(C8:D8)</f>
        <v>3289.9</v>
      </c>
      <c r="F8" s="24">
        <v>3393.1</v>
      </c>
      <c r="G8" s="25"/>
      <c r="H8" s="27">
        <f aca="true" t="shared" si="3" ref="H8:H24">SUM(F8:G8)</f>
        <v>3393.1</v>
      </c>
      <c r="I8" s="25">
        <f aca="true" t="shared" si="4" ref="I8:I24">H8-E8</f>
        <v>103.19999999999982</v>
      </c>
      <c r="J8" s="25">
        <f t="shared" si="1"/>
        <v>3.1368734611994227</v>
      </c>
    </row>
    <row r="9" spans="1:10" ht="12.75">
      <c r="A9" s="22">
        <v>1.3</v>
      </c>
      <c r="B9" s="23" t="s">
        <v>15</v>
      </c>
      <c r="C9" s="24">
        <v>2167</v>
      </c>
      <c r="D9" s="25"/>
      <c r="E9" s="26">
        <f t="shared" si="2"/>
        <v>2167</v>
      </c>
      <c r="F9" s="24">
        <v>2264</v>
      </c>
      <c r="G9" s="25"/>
      <c r="H9" s="27">
        <f t="shared" si="3"/>
        <v>2264</v>
      </c>
      <c r="I9" s="25">
        <f t="shared" si="4"/>
        <v>97</v>
      </c>
      <c r="J9" s="25">
        <f t="shared" si="1"/>
        <v>4.476234425473004</v>
      </c>
    </row>
    <row r="10" spans="1:10" ht="12.75">
      <c r="A10" s="22">
        <v>1.4</v>
      </c>
      <c r="B10" s="23" t="s">
        <v>16</v>
      </c>
      <c r="C10" s="24">
        <v>1403.7</v>
      </c>
      <c r="D10" s="25"/>
      <c r="E10" s="26">
        <f t="shared" si="2"/>
        <v>1403.7</v>
      </c>
      <c r="F10" s="24">
        <v>1249.2</v>
      </c>
      <c r="G10" s="25"/>
      <c r="H10" s="27">
        <f t="shared" si="3"/>
        <v>1249.2</v>
      </c>
      <c r="I10" s="25">
        <f t="shared" si="4"/>
        <v>-154.5</v>
      </c>
      <c r="J10" s="25">
        <f t="shared" si="1"/>
        <v>-11.006625347296431</v>
      </c>
    </row>
    <row r="11" spans="1:10" ht="12.75">
      <c r="A11" s="22">
        <v>1.5</v>
      </c>
      <c r="B11" s="23" t="s">
        <v>17</v>
      </c>
      <c r="C11" s="24">
        <v>1762.2</v>
      </c>
      <c r="D11" s="25"/>
      <c r="E11" s="26">
        <f t="shared" si="2"/>
        <v>1762.2</v>
      </c>
      <c r="F11" s="24">
        <v>1231.9</v>
      </c>
      <c r="G11" s="25"/>
      <c r="H11" s="27">
        <f t="shared" si="3"/>
        <v>1231.9</v>
      </c>
      <c r="I11" s="25">
        <f t="shared" si="4"/>
        <v>-530.3</v>
      </c>
      <c r="J11" s="25">
        <f t="shared" si="1"/>
        <v>-30.093065486323912</v>
      </c>
    </row>
    <row r="12" spans="1:10" ht="12.75">
      <c r="A12" s="22">
        <v>1.6</v>
      </c>
      <c r="B12" s="23" t="s">
        <v>18</v>
      </c>
      <c r="C12" s="24">
        <v>345.1</v>
      </c>
      <c r="D12" s="25"/>
      <c r="E12" s="26">
        <f t="shared" si="2"/>
        <v>345.1</v>
      </c>
      <c r="F12" s="24">
        <v>360.2</v>
      </c>
      <c r="G12" s="25"/>
      <c r="H12" s="27">
        <f t="shared" si="3"/>
        <v>360.2</v>
      </c>
      <c r="I12" s="25">
        <f t="shared" si="4"/>
        <v>15.099999999999966</v>
      </c>
      <c r="J12" s="25">
        <f t="shared" si="1"/>
        <v>4.375543320776576</v>
      </c>
    </row>
    <row r="13" spans="1:10" ht="12.75">
      <c r="A13" s="22">
        <v>1.7</v>
      </c>
      <c r="B13" s="23" t="s">
        <v>19</v>
      </c>
      <c r="C13" s="24">
        <v>667.8</v>
      </c>
      <c r="D13" s="25"/>
      <c r="E13" s="26">
        <f t="shared" si="2"/>
        <v>667.8</v>
      </c>
      <c r="F13" s="24">
        <v>742.7</v>
      </c>
      <c r="G13" s="25"/>
      <c r="H13" s="27">
        <f t="shared" si="3"/>
        <v>742.7</v>
      </c>
      <c r="I13" s="25">
        <f t="shared" si="4"/>
        <v>74.90000000000009</v>
      </c>
      <c r="J13" s="25">
        <f t="shared" si="1"/>
        <v>11.215932914046135</v>
      </c>
    </row>
    <row r="14" spans="1:10" ht="12.75">
      <c r="A14" s="22">
        <v>1.8</v>
      </c>
      <c r="B14" s="23" t="s">
        <v>20</v>
      </c>
      <c r="C14" s="24">
        <v>1057.3</v>
      </c>
      <c r="D14" s="25"/>
      <c r="E14" s="26">
        <f t="shared" si="2"/>
        <v>1057.3</v>
      </c>
      <c r="F14" s="24">
        <v>968.2</v>
      </c>
      <c r="G14" s="25"/>
      <c r="H14" s="27">
        <f t="shared" si="3"/>
        <v>968.2</v>
      </c>
      <c r="I14" s="25">
        <f t="shared" si="4"/>
        <v>-89.09999999999991</v>
      </c>
      <c r="J14" s="25">
        <f t="shared" si="1"/>
        <v>-8.42712569753144</v>
      </c>
    </row>
    <row r="15" spans="1:10" ht="12.75">
      <c r="A15" s="22">
        <v>1.9</v>
      </c>
      <c r="B15" s="23" t="s">
        <v>21</v>
      </c>
      <c r="C15" s="24">
        <v>357.4</v>
      </c>
      <c r="D15" s="25"/>
      <c r="E15" s="26">
        <f t="shared" si="2"/>
        <v>357.4</v>
      </c>
      <c r="F15" s="24">
        <v>437.7</v>
      </c>
      <c r="G15" s="25"/>
      <c r="H15" s="27">
        <f t="shared" si="3"/>
        <v>437.7</v>
      </c>
      <c r="I15" s="25">
        <f t="shared" si="4"/>
        <v>80.30000000000001</v>
      </c>
      <c r="J15" s="25">
        <f t="shared" si="1"/>
        <v>22.467823167319533</v>
      </c>
    </row>
    <row r="16" spans="1:10" ht="12.75">
      <c r="A16" s="28">
        <v>1.1</v>
      </c>
      <c r="B16" s="23" t="s">
        <v>22</v>
      </c>
      <c r="C16" s="24">
        <v>540</v>
      </c>
      <c r="D16" s="25"/>
      <c r="E16" s="26">
        <f t="shared" si="2"/>
        <v>540</v>
      </c>
      <c r="F16" s="24">
        <v>420.8</v>
      </c>
      <c r="G16" s="25"/>
      <c r="H16" s="27">
        <f t="shared" si="3"/>
        <v>420.8</v>
      </c>
      <c r="I16" s="25">
        <f t="shared" si="4"/>
        <v>-119.19999999999999</v>
      </c>
      <c r="J16" s="25">
        <f t="shared" si="1"/>
        <v>-22.074074074074073</v>
      </c>
    </row>
    <row r="17" spans="1:10" ht="12.75">
      <c r="A17" s="28">
        <v>1.11</v>
      </c>
      <c r="B17" s="23" t="s">
        <v>23</v>
      </c>
      <c r="C17" s="24">
        <v>561.2</v>
      </c>
      <c r="D17" s="25"/>
      <c r="E17" s="26">
        <f t="shared" si="2"/>
        <v>561.2</v>
      </c>
      <c r="F17" s="24">
        <v>570.9</v>
      </c>
      <c r="G17" s="25"/>
      <c r="H17" s="27">
        <f t="shared" si="3"/>
        <v>570.9</v>
      </c>
      <c r="I17" s="25">
        <f t="shared" si="4"/>
        <v>9.699999999999932</v>
      </c>
      <c r="J17" s="25">
        <f t="shared" si="1"/>
        <v>1.728439059158933</v>
      </c>
    </row>
    <row r="18" spans="1:10" ht="12.75">
      <c r="A18" s="28">
        <v>1.12</v>
      </c>
      <c r="B18" s="23" t="s">
        <v>24</v>
      </c>
      <c r="C18" s="24">
        <v>1378.6</v>
      </c>
      <c r="D18" s="25"/>
      <c r="E18" s="26">
        <f t="shared" si="2"/>
        <v>1378.6</v>
      </c>
      <c r="F18" s="24">
        <v>1744</v>
      </c>
      <c r="G18" s="25"/>
      <c r="H18" s="27">
        <f t="shared" si="3"/>
        <v>1744</v>
      </c>
      <c r="I18" s="25">
        <f t="shared" si="4"/>
        <v>365.4000000000001</v>
      </c>
      <c r="J18" s="25">
        <f t="shared" si="1"/>
        <v>26.505150152328454</v>
      </c>
    </row>
    <row r="19" spans="1:10" ht="12.75">
      <c r="A19" s="28">
        <v>1.13</v>
      </c>
      <c r="B19" s="23" t="s">
        <v>25</v>
      </c>
      <c r="C19" s="24"/>
      <c r="D19" s="25">
        <v>1054.3</v>
      </c>
      <c r="E19" s="26">
        <f t="shared" si="2"/>
        <v>1054.3</v>
      </c>
      <c r="F19" s="24"/>
      <c r="G19" s="25">
        <f>940.4+196.8</f>
        <v>1137.2</v>
      </c>
      <c r="H19" s="27">
        <f t="shared" si="3"/>
        <v>1137.2</v>
      </c>
      <c r="I19" s="25">
        <f t="shared" si="4"/>
        <v>82.90000000000009</v>
      </c>
      <c r="J19" s="25">
        <f t="shared" si="1"/>
        <v>7.863037086218353</v>
      </c>
    </row>
    <row r="20" spans="1:10" ht="12.75">
      <c r="A20" s="28">
        <v>1.14</v>
      </c>
      <c r="B20" s="23" t="s">
        <v>26</v>
      </c>
      <c r="C20" s="24"/>
      <c r="D20" s="25">
        <v>4100</v>
      </c>
      <c r="E20" s="26">
        <f t="shared" si="2"/>
        <v>4100</v>
      </c>
      <c r="F20" s="24"/>
      <c r="G20" s="25">
        <v>3995</v>
      </c>
      <c r="H20" s="27">
        <f t="shared" si="3"/>
        <v>3995</v>
      </c>
      <c r="I20" s="25">
        <f t="shared" si="4"/>
        <v>-105</v>
      </c>
      <c r="J20" s="25">
        <f t="shared" si="1"/>
        <v>-2.5609756097560976</v>
      </c>
    </row>
    <row r="21" spans="1:10" ht="12.75">
      <c r="A21" s="28">
        <v>1.15</v>
      </c>
      <c r="B21" s="23" t="s">
        <v>27</v>
      </c>
      <c r="C21" s="24"/>
      <c r="D21" s="25">
        <v>1336.1</v>
      </c>
      <c r="E21" s="26">
        <f t="shared" si="2"/>
        <v>1336.1</v>
      </c>
      <c r="F21" s="24"/>
      <c r="G21" s="25">
        <v>1082.3</v>
      </c>
      <c r="H21" s="27">
        <f t="shared" si="3"/>
        <v>1082.3</v>
      </c>
      <c r="I21" s="25">
        <f t="shared" si="4"/>
        <v>-253.79999999999995</v>
      </c>
      <c r="J21" s="25">
        <f t="shared" si="1"/>
        <v>-18.99558416286206</v>
      </c>
    </row>
    <row r="22" spans="1:10" ht="12.75">
      <c r="A22" s="28">
        <v>1.16</v>
      </c>
      <c r="B22" s="23" t="s">
        <v>28</v>
      </c>
      <c r="C22" s="24"/>
      <c r="D22" s="25">
        <v>637.1</v>
      </c>
      <c r="E22" s="26">
        <f t="shared" si="2"/>
        <v>637.1</v>
      </c>
      <c r="F22" s="24"/>
      <c r="G22" s="25">
        <v>694.8</v>
      </c>
      <c r="H22" s="27">
        <f t="shared" si="3"/>
        <v>694.8</v>
      </c>
      <c r="I22" s="25">
        <f t="shared" si="4"/>
        <v>57.69999999999993</v>
      </c>
      <c r="J22" s="25">
        <f t="shared" si="1"/>
        <v>9.056663004237944</v>
      </c>
    </row>
    <row r="23" spans="1:10" ht="12.75">
      <c r="A23" s="28">
        <v>1.17</v>
      </c>
      <c r="B23" s="23" t="s">
        <v>29</v>
      </c>
      <c r="C23" s="24"/>
      <c r="D23" s="25">
        <v>683.2</v>
      </c>
      <c r="E23" s="26">
        <f t="shared" si="2"/>
        <v>683.2</v>
      </c>
      <c r="F23" s="24"/>
      <c r="G23" s="25">
        <v>600.2</v>
      </c>
      <c r="H23" s="27">
        <f t="shared" si="3"/>
        <v>600.2</v>
      </c>
      <c r="I23" s="25">
        <f t="shared" si="4"/>
        <v>-83</v>
      </c>
      <c r="J23" s="25">
        <f t="shared" si="1"/>
        <v>-12.148711943793911</v>
      </c>
    </row>
    <row r="24" spans="1:10" ht="12.75">
      <c r="A24" s="28">
        <v>1.18</v>
      </c>
      <c r="B24" s="23" t="s">
        <v>30</v>
      </c>
      <c r="C24" s="24">
        <v>45.5</v>
      </c>
      <c r="D24" s="25"/>
      <c r="E24" s="26">
        <f t="shared" si="2"/>
        <v>45.5</v>
      </c>
      <c r="F24" s="24"/>
      <c r="G24" s="25"/>
      <c r="H24" s="27">
        <f t="shared" si="3"/>
        <v>0</v>
      </c>
      <c r="I24" s="25">
        <f t="shared" si="4"/>
        <v>-45.5</v>
      </c>
      <c r="J24" s="25">
        <f t="shared" si="1"/>
        <v>-100</v>
      </c>
    </row>
    <row r="25" spans="1:11" ht="57" customHeight="1">
      <c r="A25" s="12">
        <v>2</v>
      </c>
      <c r="B25" s="29" t="s">
        <v>31</v>
      </c>
      <c r="C25" s="14">
        <v>1271.4</v>
      </c>
      <c r="D25" s="15">
        <f>287+89.1</f>
        <v>376.1</v>
      </c>
      <c r="E25" s="16">
        <f aca="true" t="shared" si="5" ref="E25:E32">SUM(C25:D25)</f>
        <v>1647.5</v>
      </c>
      <c r="F25" s="17">
        <v>1289.7</v>
      </c>
      <c r="G25" s="18">
        <f>939.3+0.7</f>
        <v>940</v>
      </c>
      <c r="H25" s="19">
        <f>SUM(F25:G25)</f>
        <v>2229.7</v>
      </c>
      <c r="I25" s="18">
        <f>H25-E25</f>
        <v>582.1999999999998</v>
      </c>
      <c r="J25" s="18">
        <f t="shared" si="1"/>
        <v>35.33839150227617</v>
      </c>
      <c r="K25" s="30"/>
    </row>
    <row r="26" spans="1:11" ht="12.75">
      <c r="A26" s="12">
        <v>3</v>
      </c>
      <c r="B26" s="29" t="s">
        <v>32</v>
      </c>
      <c r="C26" s="14">
        <v>1818.1</v>
      </c>
      <c r="D26" s="15">
        <f>1081.3+199.4+31.2+15.2+1.4</f>
        <v>1328.5000000000002</v>
      </c>
      <c r="E26" s="16">
        <f t="shared" si="5"/>
        <v>3146.6000000000004</v>
      </c>
      <c r="F26" s="17">
        <v>1827.1</v>
      </c>
      <c r="G26" s="18">
        <f>456.3+88.1+24.9+15.2+0.7+3.2</f>
        <v>588.4000000000001</v>
      </c>
      <c r="H26" s="19">
        <f>SUM(F26:G26)</f>
        <v>2415.5</v>
      </c>
      <c r="I26" s="18">
        <f>H26-E26</f>
        <v>-731.1000000000004</v>
      </c>
      <c r="J26" s="18">
        <f t="shared" si="1"/>
        <v>-23.23460242801755</v>
      </c>
      <c r="K26" s="31"/>
    </row>
    <row r="27" spans="1:11" ht="12.75">
      <c r="A27" s="12">
        <v>4</v>
      </c>
      <c r="B27" s="29" t="s">
        <v>33</v>
      </c>
      <c r="C27" s="14">
        <v>42.1</v>
      </c>
      <c r="D27" s="15">
        <f>11.7+48.3+4.5</f>
        <v>64.5</v>
      </c>
      <c r="E27" s="16">
        <f t="shared" si="5"/>
        <v>106.6</v>
      </c>
      <c r="F27" s="18">
        <v>113.6</v>
      </c>
      <c r="G27" s="18">
        <f>13.4+9.1+20.8</f>
        <v>43.3</v>
      </c>
      <c r="H27" s="19">
        <f>SUM(F27:G27)</f>
        <v>156.89999999999998</v>
      </c>
      <c r="I27" s="18">
        <f>H27-E27</f>
        <v>50.29999999999998</v>
      </c>
      <c r="J27" s="18">
        <f t="shared" si="1"/>
        <v>47.1857410881801</v>
      </c>
      <c r="K27" s="30"/>
    </row>
    <row r="28" spans="1:11" ht="12.75">
      <c r="A28" s="12">
        <v>5</v>
      </c>
      <c r="B28" s="29" t="s">
        <v>34</v>
      </c>
      <c r="C28" s="14">
        <v>113.3</v>
      </c>
      <c r="D28" s="15">
        <v>0</v>
      </c>
      <c r="E28" s="16">
        <f t="shared" si="5"/>
        <v>113.3</v>
      </c>
      <c r="F28" s="18">
        <v>5.7</v>
      </c>
      <c r="G28" s="18">
        <f>1.3</f>
        <v>1.3</v>
      </c>
      <c r="H28" s="19">
        <f>SUM(F28:G28)</f>
        <v>7</v>
      </c>
      <c r="I28" s="18">
        <f>H28-E28</f>
        <v>-106.3</v>
      </c>
      <c r="J28" s="18">
        <f t="shared" si="1"/>
        <v>-93.8217122683142</v>
      </c>
      <c r="K28" s="30"/>
    </row>
    <row r="29" spans="1:11" ht="18.75" customHeight="1">
      <c r="A29" s="32" t="s">
        <v>35</v>
      </c>
      <c r="B29" s="32"/>
      <c r="C29" s="33">
        <f>C6+C25+C26+C27+C28</f>
        <v>19953.299999999996</v>
      </c>
      <c r="D29" s="34">
        <f>D6+D25+D26+D27+D28</f>
        <v>9579.800000000001</v>
      </c>
      <c r="E29" s="35">
        <f t="shared" si="5"/>
        <v>29533.1</v>
      </c>
      <c r="F29" s="35">
        <f>F6+F25+F26+F27+F28</f>
        <v>20100.9</v>
      </c>
      <c r="G29" s="35">
        <f>G6+G25+G26+G27+G28</f>
        <v>9082.499999999998</v>
      </c>
      <c r="H29" s="36">
        <f>H6+H25+H26+H27+H28</f>
        <v>29183.4</v>
      </c>
      <c r="I29" s="37">
        <f>I6+I25+I26+I27+I28</f>
        <v>-349.7000000000003</v>
      </c>
      <c r="J29" s="37">
        <f t="shared" si="1"/>
        <v>-1.1840951339344679</v>
      </c>
      <c r="K29" s="21"/>
    </row>
    <row r="30" spans="1:10" ht="12.75">
      <c r="A30" s="12">
        <v>1</v>
      </c>
      <c r="B30" s="29" t="s">
        <v>36</v>
      </c>
      <c r="C30" s="14">
        <v>9</v>
      </c>
      <c r="D30" s="15">
        <v>2.9</v>
      </c>
      <c r="E30" s="16">
        <f t="shared" si="5"/>
        <v>11.9</v>
      </c>
      <c r="F30" s="17">
        <v>9</v>
      </c>
      <c r="G30" s="18">
        <v>2.9</v>
      </c>
      <c r="H30" s="19">
        <f>SUM(F30:G30)</f>
        <v>11.9</v>
      </c>
      <c r="I30" s="18">
        <f>H30-E30</f>
        <v>0</v>
      </c>
      <c r="J30" s="20">
        <f t="shared" si="1"/>
        <v>0</v>
      </c>
    </row>
    <row r="31" spans="1:10" ht="12.75">
      <c r="A31" s="12">
        <v>2</v>
      </c>
      <c r="B31" s="29" t="s">
        <v>37</v>
      </c>
      <c r="C31" s="38">
        <v>0</v>
      </c>
      <c r="D31" s="15">
        <v>0</v>
      </c>
      <c r="E31" s="16">
        <f t="shared" si="5"/>
        <v>0</v>
      </c>
      <c r="F31" s="17">
        <v>364.8</v>
      </c>
      <c r="G31" s="18">
        <v>46.3</v>
      </c>
      <c r="H31" s="19">
        <f>SUM(F31:G31)</f>
        <v>411.1</v>
      </c>
      <c r="I31" s="18">
        <f>H31-E31</f>
        <v>411.1</v>
      </c>
      <c r="J31" s="20"/>
    </row>
    <row r="32" spans="1:10" ht="30.75" customHeight="1">
      <c r="A32" s="12">
        <v>3</v>
      </c>
      <c r="B32" s="29" t="s">
        <v>38</v>
      </c>
      <c r="C32" s="14">
        <v>56</v>
      </c>
      <c r="D32" s="15">
        <v>17.3</v>
      </c>
      <c r="E32" s="16">
        <f t="shared" si="5"/>
        <v>73.3</v>
      </c>
      <c r="F32" s="17">
        <v>180.7</v>
      </c>
      <c r="G32" s="18">
        <v>47.5</v>
      </c>
      <c r="H32" s="19">
        <f>SUM(F32:G32)</f>
        <v>228.2</v>
      </c>
      <c r="I32" s="18">
        <f>H32-E32</f>
        <v>154.89999999999998</v>
      </c>
      <c r="J32" s="20">
        <f>I32/E32*100</f>
        <v>211.3233287858117</v>
      </c>
    </row>
    <row r="33" spans="1:10" ht="12.75" hidden="1">
      <c r="A33" s="12">
        <v>3</v>
      </c>
      <c r="B33" s="29" t="s">
        <v>39</v>
      </c>
      <c r="C33" s="39"/>
      <c r="D33" s="40"/>
      <c r="E33" s="41"/>
      <c r="F33" s="17"/>
      <c r="G33" s="18"/>
      <c r="H33" s="19"/>
      <c r="I33" s="18"/>
      <c r="J33" s="20" t="e">
        <f>I33/E33*100</f>
        <v>#DIV/0!</v>
      </c>
    </row>
    <row r="34" spans="1:10" ht="29.25" customHeight="1">
      <c r="A34" s="32" t="s">
        <v>40</v>
      </c>
      <c r="B34" s="32"/>
      <c r="C34" s="33">
        <f>C30+C32+C33</f>
        <v>65</v>
      </c>
      <c r="D34" s="34">
        <f>D30+D32+D33</f>
        <v>20.2</v>
      </c>
      <c r="E34" s="35">
        <f>SUM(C34:D34)</f>
        <v>85.2</v>
      </c>
      <c r="F34" s="35">
        <f>SUM(F30:F32)</f>
        <v>554.5</v>
      </c>
      <c r="G34" s="35">
        <f>SUM(G30:G32)</f>
        <v>96.7</v>
      </c>
      <c r="H34" s="36">
        <f>SUM(H30:H32)</f>
        <v>651.1999999999999</v>
      </c>
      <c r="I34" s="37">
        <f>I30+I32+I33+I31</f>
        <v>566</v>
      </c>
      <c r="J34" s="37">
        <f>I34/E34*100</f>
        <v>664.3192488262911</v>
      </c>
    </row>
    <row r="35" spans="1:10" ht="29.25" customHeight="1">
      <c r="A35" s="42" t="s">
        <v>41</v>
      </c>
      <c r="B35" s="42"/>
      <c r="C35" s="43">
        <f aca="true" t="shared" si="6" ref="C35:I35">C29+C34</f>
        <v>20018.299999999996</v>
      </c>
      <c r="D35" s="44">
        <f t="shared" si="6"/>
        <v>9600.000000000002</v>
      </c>
      <c r="E35" s="45">
        <f t="shared" si="6"/>
        <v>29618.3</v>
      </c>
      <c r="F35" s="45">
        <f t="shared" si="6"/>
        <v>20655.4</v>
      </c>
      <c r="G35" s="45">
        <f t="shared" si="6"/>
        <v>9179.199999999999</v>
      </c>
      <c r="H35" s="46">
        <f t="shared" si="6"/>
        <v>29834.600000000002</v>
      </c>
      <c r="I35" s="47">
        <f t="shared" si="6"/>
        <v>216.29999999999973</v>
      </c>
      <c r="J35" s="47">
        <f>I35/E35*100</f>
        <v>0.7302917453061105</v>
      </c>
    </row>
    <row r="36" spans="1:10" ht="12" customHeight="1">
      <c r="A36" s="48"/>
      <c r="B36" s="12"/>
      <c r="C36" s="49"/>
      <c r="D36" s="49"/>
      <c r="E36" s="50"/>
      <c r="F36" s="50"/>
      <c r="G36" s="50"/>
      <c r="H36" s="51"/>
      <c r="I36" s="52"/>
      <c r="J36" s="52"/>
    </row>
    <row r="37" spans="1:10" ht="23.25" customHeight="1">
      <c r="A37" s="48"/>
      <c r="B37" s="53" t="s">
        <v>42</v>
      </c>
      <c r="C37" s="54"/>
      <c r="D37" s="54"/>
      <c r="E37" s="52"/>
      <c r="F37" s="55"/>
      <c r="G37" s="55"/>
      <c r="H37" s="56"/>
      <c r="I37" s="52"/>
      <c r="J37" s="52"/>
    </row>
    <row r="38" spans="1:11" ht="12.75">
      <c r="A38" s="12">
        <v>1</v>
      </c>
      <c r="B38" s="57" t="s">
        <v>43</v>
      </c>
      <c r="C38" s="58">
        <v>5839.5</v>
      </c>
      <c r="D38" s="58">
        <v>2441.2</v>
      </c>
      <c r="E38" s="52">
        <f>SUM(C38:D38)</f>
        <v>8280.7</v>
      </c>
      <c r="F38" s="52">
        <v>5199.1</v>
      </c>
      <c r="G38" s="52">
        <f>815.7+619.9+6.1+205.6+556.7+301.2+5.6+18.2+144.8+18.4</f>
        <v>2692.2</v>
      </c>
      <c r="H38" s="56">
        <f>SUM(F38:G38)</f>
        <v>7891.3</v>
      </c>
      <c r="I38" s="52">
        <f>H38-E38</f>
        <v>-389.40000000000055</v>
      </c>
      <c r="J38" s="52">
        <f aca="true" t="shared" si="7" ref="J38:J74">I38/E38*100</f>
        <v>-4.702500996292589</v>
      </c>
      <c r="K38" s="30"/>
    </row>
    <row r="39" spans="1:10" ht="59.25" customHeight="1">
      <c r="A39" s="12"/>
      <c r="B39" s="59" t="s">
        <v>44</v>
      </c>
      <c r="C39" s="60">
        <v>37.8</v>
      </c>
      <c r="D39" s="60">
        <v>20.5</v>
      </c>
      <c r="E39" s="25">
        <f>SUM(C39:D39)</f>
        <v>58.3</v>
      </c>
      <c r="F39" s="25">
        <v>29.4</v>
      </c>
      <c r="G39" s="25">
        <v>18.2</v>
      </c>
      <c r="H39" s="27">
        <f>SUM(F39:G39)</f>
        <v>47.599999999999994</v>
      </c>
      <c r="I39" s="25">
        <f>H39-E39</f>
        <v>-10.700000000000003</v>
      </c>
      <c r="J39" s="25">
        <f t="shared" si="7"/>
        <v>-18.353344768439115</v>
      </c>
    </row>
    <row r="40" spans="1:11" ht="12.75">
      <c r="A40" s="12">
        <v>2</v>
      </c>
      <c r="B40" s="61" t="s">
        <v>45</v>
      </c>
      <c r="C40" s="62">
        <v>227.7</v>
      </c>
      <c r="D40" s="62">
        <v>64.7</v>
      </c>
      <c r="E40" s="63">
        <f>SUM(C40:D40)</f>
        <v>292.4</v>
      </c>
      <c r="F40" s="63">
        <v>149.7</v>
      </c>
      <c r="G40" s="63">
        <f>56.9</f>
        <v>56.9</v>
      </c>
      <c r="H40" s="64">
        <f>SUM(F40:G40)</f>
        <v>206.6</v>
      </c>
      <c r="I40" s="52">
        <f>H40-E40</f>
        <v>-85.79999999999998</v>
      </c>
      <c r="J40" s="52">
        <f t="shared" si="7"/>
        <v>-29.343365253077973</v>
      </c>
      <c r="K40" s="65"/>
    </row>
    <row r="41" spans="1:10" ht="12.75">
      <c r="A41" s="12">
        <v>3</v>
      </c>
      <c r="B41" s="57" t="s">
        <v>46</v>
      </c>
      <c r="C41" s="62">
        <v>238.9</v>
      </c>
      <c r="D41" s="62">
        <v>78.3</v>
      </c>
      <c r="E41" s="63">
        <f>SUM(C41:D41)</f>
        <v>317.2</v>
      </c>
      <c r="F41" s="63">
        <v>234.4</v>
      </c>
      <c r="G41" s="63">
        <v>55.5</v>
      </c>
      <c r="H41" s="64">
        <f>SUM(F41:G41)</f>
        <v>289.9</v>
      </c>
      <c r="I41" s="52">
        <f>H41-E41</f>
        <v>-27.30000000000001</v>
      </c>
      <c r="J41" s="52">
        <f t="shared" si="7"/>
        <v>-8.606557377049185</v>
      </c>
    </row>
    <row r="42" spans="1:10" ht="12.75">
      <c r="A42" s="12">
        <v>4</v>
      </c>
      <c r="B42" s="57" t="s">
        <v>47</v>
      </c>
      <c r="C42" s="62">
        <v>1793.9</v>
      </c>
      <c r="D42" s="62">
        <v>582</v>
      </c>
      <c r="E42" s="63">
        <f>SUM(C42:D42)</f>
        <v>2375.9</v>
      </c>
      <c r="F42" s="63">
        <v>1374.9</v>
      </c>
      <c r="G42" s="63">
        <f>312.4+78+197.4+49.4</f>
        <v>637.1999999999999</v>
      </c>
      <c r="H42" s="64">
        <f>SUM(F42:G42)</f>
        <v>2012.1</v>
      </c>
      <c r="I42" s="52">
        <f>H42-E42</f>
        <v>-363.8000000000002</v>
      </c>
      <c r="J42" s="52">
        <f t="shared" si="7"/>
        <v>-15.31209225977525</v>
      </c>
    </row>
    <row r="43" spans="1:10" ht="12.75">
      <c r="A43" s="12">
        <v>5</v>
      </c>
      <c r="B43" s="57" t="s">
        <v>48</v>
      </c>
      <c r="C43" s="58">
        <f aca="true" t="shared" si="8" ref="C43:I43">SUM(C44:C47)</f>
        <v>855.4</v>
      </c>
      <c r="D43" s="58">
        <f t="shared" si="8"/>
        <v>356.4</v>
      </c>
      <c r="E43" s="52">
        <f t="shared" si="8"/>
        <v>1211.8</v>
      </c>
      <c r="F43" s="52">
        <f t="shared" si="8"/>
        <v>548.1</v>
      </c>
      <c r="G43" s="52">
        <f t="shared" si="8"/>
        <v>198.5</v>
      </c>
      <c r="H43" s="52">
        <f t="shared" si="8"/>
        <v>746.6</v>
      </c>
      <c r="I43" s="56">
        <f t="shared" si="8"/>
        <v>-465.2</v>
      </c>
      <c r="J43" s="52">
        <f t="shared" si="7"/>
        <v>-38.38917313087968</v>
      </c>
    </row>
    <row r="44" spans="1:11" ht="12.75">
      <c r="A44" s="66"/>
      <c r="B44" s="59" t="s">
        <v>49</v>
      </c>
      <c r="C44" s="60">
        <v>421.8</v>
      </c>
      <c r="D44" s="60">
        <v>130.7</v>
      </c>
      <c r="E44" s="25">
        <f>SUM(C44:D44)</f>
        <v>552.5</v>
      </c>
      <c r="F44" s="25">
        <v>335.8</v>
      </c>
      <c r="G44" s="25">
        <f>73.9+18.1</f>
        <v>92</v>
      </c>
      <c r="H44" s="27">
        <f>SUM(F44:G44)</f>
        <v>427.8</v>
      </c>
      <c r="I44" s="25">
        <f>H44-E44</f>
        <v>-124.69999999999999</v>
      </c>
      <c r="J44" s="25">
        <f t="shared" si="7"/>
        <v>-22.570135746606333</v>
      </c>
      <c r="K44" s="30"/>
    </row>
    <row r="45" spans="1:10" ht="12.75">
      <c r="A45" s="66"/>
      <c r="B45" s="59" t="s">
        <v>50</v>
      </c>
      <c r="C45" s="60">
        <v>175</v>
      </c>
      <c r="D45" s="60">
        <v>67.2</v>
      </c>
      <c r="E45" s="25">
        <f aca="true" t="shared" si="9" ref="E45:E65">SUM(C45:D45)</f>
        <v>242.2</v>
      </c>
      <c r="F45" s="25">
        <v>122.4</v>
      </c>
      <c r="G45" s="25">
        <f>38.5+27</f>
        <v>65.5</v>
      </c>
      <c r="H45" s="27">
        <f>SUM(F45:G45)</f>
        <v>187.9</v>
      </c>
      <c r="I45" s="25">
        <f>H45-E45</f>
        <v>-54.29999999999998</v>
      </c>
      <c r="J45" s="25">
        <f t="shared" si="7"/>
        <v>-22.419488026424435</v>
      </c>
    </row>
    <row r="46" spans="1:10" ht="12.75">
      <c r="A46" s="66"/>
      <c r="B46" s="59" t="s">
        <v>51</v>
      </c>
      <c r="C46" s="60">
        <v>195.9</v>
      </c>
      <c r="D46" s="60">
        <v>96.7</v>
      </c>
      <c r="E46" s="25">
        <f t="shared" si="9"/>
        <v>292.6</v>
      </c>
      <c r="F46" s="25">
        <v>71.4</v>
      </c>
      <c r="G46" s="25">
        <f>8.8+26.8+2.2</f>
        <v>37.800000000000004</v>
      </c>
      <c r="H46" s="27">
        <f>SUM(F46:G46)</f>
        <v>109.20000000000002</v>
      </c>
      <c r="I46" s="25">
        <f>H46-E46</f>
        <v>-183.4</v>
      </c>
      <c r="J46" s="25">
        <f t="shared" si="7"/>
        <v>-62.679425837320565</v>
      </c>
    </row>
    <row r="47" spans="1:10" ht="12.75">
      <c r="A47" s="66"/>
      <c r="B47" s="59" t="s">
        <v>52</v>
      </c>
      <c r="C47" s="60">
        <v>62.7</v>
      </c>
      <c r="D47" s="60">
        <v>61.8</v>
      </c>
      <c r="E47" s="25">
        <f t="shared" si="9"/>
        <v>124.5</v>
      </c>
      <c r="F47" s="25">
        <v>18.5</v>
      </c>
      <c r="G47" s="25">
        <v>3.2</v>
      </c>
      <c r="H47" s="27">
        <f>SUM(F47:G47)</f>
        <v>21.7</v>
      </c>
      <c r="I47" s="25">
        <f>H47-E47</f>
        <v>-102.8</v>
      </c>
      <c r="J47" s="25">
        <f t="shared" si="7"/>
        <v>-82.570281124498</v>
      </c>
    </row>
    <row r="48" spans="1:11" ht="12.75">
      <c r="A48" s="67">
        <v>6</v>
      </c>
      <c r="B48" s="68" t="s">
        <v>53</v>
      </c>
      <c r="C48" s="69">
        <v>1120.1</v>
      </c>
      <c r="D48" s="69">
        <v>314.3</v>
      </c>
      <c r="E48" s="70">
        <f t="shared" si="9"/>
        <v>1434.3999999999999</v>
      </c>
      <c r="F48" s="70">
        <v>905</v>
      </c>
      <c r="G48" s="70">
        <f>36.6+4.8+269.4</f>
        <v>310.79999999999995</v>
      </c>
      <c r="H48" s="71">
        <f>SUM(F48:G48)</f>
        <v>1215.8</v>
      </c>
      <c r="I48" s="70">
        <f>H48-E48</f>
        <v>-218.5999999999999</v>
      </c>
      <c r="J48" s="70">
        <f t="shared" si="7"/>
        <v>-15.239821528165082</v>
      </c>
      <c r="K48" s="30"/>
    </row>
    <row r="49" spans="1:11" ht="12.75">
      <c r="A49" s="12">
        <v>7</v>
      </c>
      <c r="B49" s="57" t="s">
        <v>54</v>
      </c>
      <c r="C49" s="69">
        <v>2174.3</v>
      </c>
      <c r="D49" s="69">
        <v>764.7</v>
      </c>
      <c r="E49" s="70">
        <f t="shared" si="9"/>
        <v>2939</v>
      </c>
      <c r="F49" s="70">
        <v>2271.6</v>
      </c>
      <c r="G49" s="70">
        <f>12.9+455.4+48.4+221.3+10.9</f>
        <v>748.9</v>
      </c>
      <c r="H49" s="71">
        <f aca="true" t="shared" si="10" ref="H49:H65">SUM(F49:G49)</f>
        <v>3020.5</v>
      </c>
      <c r="I49" s="70">
        <f aca="true" t="shared" si="11" ref="I49:I65">H49-E49</f>
        <v>81.5</v>
      </c>
      <c r="J49" s="70">
        <f t="shared" si="7"/>
        <v>2.7730520585233074</v>
      </c>
      <c r="K49" s="30"/>
    </row>
    <row r="50" spans="1:11" ht="12.75">
      <c r="A50" s="67">
        <v>8</v>
      </c>
      <c r="B50" s="57" t="s">
        <v>55</v>
      </c>
      <c r="C50" s="69">
        <v>589.4</v>
      </c>
      <c r="D50" s="69">
        <v>12.2</v>
      </c>
      <c r="E50" s="70">
        <f t="shared" si="9"/>
        <v>601.6</v>
      </c>
      <c r="F50" s="70">
        <v>245.9</v>
      </c>
      <c r="G50" s="70">
        <f>126.9+0.3</f>
        <v>127.2</v>
      </c>
      <c r="H50" s="71">
        <f t="shared" si="10"/>
        <v>373.1</v>
      </c>
      <c r="I50" s="70">
        <f t="shared" si="11"/>
        <v>-228.5</v>
      </c>
      <c r="J50" s="70">
        <f t="shared" si="7"/>
        <v>-37.982047872340424</v>
      </c>
      <c r="K50" s="30"/>
    </row>
    <row r="51" spans="1:11" ht="38.25" customHeight="1">
      <c r="A51" s="12">
        <v>9</v>
      </c>
      <c r="B51" s="57" t="s">
        <v>56</v>
      </c>
      <c r="C51" s="69">
        <v>538.4</v>
      </c>
      <c r="D51" s="69">
        <v>-37.2</v>
      </c>
      <c r="E51" s="70">
        <f t="shared" si="9"/>
        <v>501.2</v>
      </c>
      <c r="F51" s="70">
        <v>399</v>
      </c>
      <c r="G51" s="70">
        <f>36.8+20.8+3.5-207.9+33.8+23.4+3.9-3.2</f>
        <v>-88.90000000000002</v>
      </c>
      <c r="H51" s="71">
        <f t="shared" si="10"/>
        <v>310.09999999999997</v>
      </c>
      <c r="I51" s="70">
        <f t="shared" si="11"/>
        <v>-191.10000000000002</v>
      </c>
      <c r="J51" s="70">
        <f t="shared" si="7"/>
        <v>-38.12849162011174</v>
      </c>
      <c r="K51" s="31"/>
    </row>
    <row r="52" spans="1:17" ht="12.75">
      <c r="A52" s="12">
        <v>10</v>
      </c>
      <c r="B52" s="57" t="s">
        <v>57</v>
      </c>
      <c r="C52" s="69">
        <v>976.5</v>
      </c>
      <c r="D52" s="69">
        <v>323.2</v>
      </c>
      <c r="E52" s="70">
        <f t="shared" si="9"/>
        <v>1299.7</v>
      </c>
      <c r="F52" s="70">
        <v>986.8</v>
      </c>
      <c r="G52" s="70">
        <f>17.4</f>
        <v>17.4</v>
      </c>
      <c r="H52" s="71">
        <f t="shared" si="10"/>
        <v>1004.1999999999999</v>
      </c>
      <c r="I52" s="70">
        <f t="shared" si="11"/>
        <v>-295.5000000000001</v>
      </c>
      <c r="J52" s="70">
        <f t="shared" si="7"/>
        <v>-22.73601600369317</v>
      </c>
      <c r="K52" s="65"/>
      <c r="L52" s="72"/>
      <c r="M52" s="72"/>
      <c r="N52" s="72"/>
      <c r="O52" s="72"/>
      <c r="P52" s="72"/>
      <c r="Q52" s="72"/>
    </row>
    <row r="53" spans="1:14" ht="37.5" customHeight="1">
      <c r="A53" s="12">
        <v>11</v>
      </c>
      <c r="B53" s="57" t="s">
        <v>58</v>
      </c>
      <c r="C53" s="69">
        <v>1147</v>
      </c>
      <c r="D53" s="69">
        <v>521.1</v>
      </c>
      <c r="E53" s="70">
        <f t="shared" si="9"/>
        <v>1668.1</v>
      </c>
      <c r="F53" s="70">
        <v>1461.2</v>
      </c>
      <c r="G53" s="70">
        <f>17.1+102.1+96.4+11.6+192.9+5.5+27.3+11.2+2</f>
        <v>466.1</v>
      </c>
      <c r="H53" s="71">
        <f t="shared" si="10"/>
        <v>1927.3000000000002</v>
      </c>
      <c r="I53" s="70">
        <f t="shared" si="11"/>
        <v>259.2000000000003</v>
      </c>
      <c r="J53" s="70">
        <f t="shared" si="7"/>
        <v>15.538636772375774</v>
      </c>
      <c r="K53" s="30"/>
      <c r="L53" s="30"/>
      <c r="M53" s="30"/>
      <c r="N53" s="30"/>
    </row>
    <row r="54" spans="1:11" ht="12.75">
      <c r="A54" s="12">
        <v>12</v>
      </c>
      <c r="B54" s="57" t="s">
        <v>59</v>
      </c>
      <c r="C54" s="69">
        <v>1403.9</v>
      </c>
      <c r="D54" s="69">
        <v>524</v>
      </c>
      <c r="E54" s="70">
        <f t="shared" si="9"/>
        <v>1927.9</v>
      </c>
      <c r="F54" s="70">
        <v>1019</v>
      </c>
      <c r="G54" s="70">
        <f>298.6+63.9</f>
        <v>362.5</v>
      </c>
      <c r="H54" s="71">
        <f t="shared" si="10"/>
        <v>1381.5</v>
      </c>
      <c r="I54" s="70">
        <f t="shared" si="11"/>
        <v>-546.4000000000001</v>
      </c>
      <c r="J54" s="70">
        <f t="shared" si="7"/>
        <v>-28.341718968826186</v>
      </c>
      <c r="K54" s="57"/>
    </row>
    <row r="55" spans="1:11" ht="12.75">
      <c r="A55" s="12">
        <v>13</v>
      </c>
      <c r="B55" s="57" t="s">
        <v>60</v>
      </c>
      <c r="C55" s="69">
        <v>137</v>
      </c>
      <c r="D55" s="69">
        <v>309.5</v>
      </c>
      <c r="E55" s="70">
        <f t="shared" si="9"/>
        <v>446.5</v>
      </c>
      <c r="F55" s="70">
        <v>208.2</v>
      </c>
      <c r="G55" s="70">
        <v>140.9</v>
      </c>
      <c r="H55" s="71">
        <f t="shared" si="10"/>
        <v>349.1</v>
      </c>
      <c r="I55" s="70">
        <f t="shared" si="11"/>
        <v>-97.39999999999998</v>
      </c>
      <c r="J55" s="70">
        <f t="shared" si="7"/>
        <v>-21.814109742441204</v>
      </c>
      <c r="K55" s="73"/>
    </row>
    <row r="56" spans="1:14" ht="87.75" customHeight="1">
      <c r="A56" s="12">
        <v>14</v>
      </c>
      <c r="B56" s="57" t="s">
        <v>61</v>
      </c>
      <c r="C56" s="69">
        <v>1116.7</v>
      </c>
      <c r="D56" s="69">
        <v>805.1</v>
      </c>
      <c r="E56" s="70">
        <f t="shared" si="9"/>
        <v>1921.8000000000002</v>
      </c>
      <c r="F56" s="70">
        <v>633.7</v>
      </c>
      <c r="G56" s="70">
        <f>121.8+7.3+3.4+68+74.1</f>
        <v>274.6</v>
      </c>
      <c r="H56" s="71">
        <f t="shared" si="10"/>
        <v>908.3000000000001</v>
      </c>
      <c r="I56" s="70">
        <f t="shared" si="11"/>
        <v>-1013.5000000000001</v>
      </c>
      <c r="J56" s="70">
        <f t="shared" si="7"/>
        <v>-52.73701737954002</v>
      </c>
      <c r="K56" s="65"/>
      <c r="L56" s="30"/>
      <c r="M56" s="30"/>
      <c r="N56" s="30"/>
    </row>
    <row r="57" spans="1:11" ht="12.75">
      <c r="A57" s="12">
        <v>15</v>
      </c>
      <c r="B57" s="57" t="s">
        <v>62</v>
      </c>
      <c r="C57" s="69">
        <v>230.9</v>
      </c>
      <c r="D57" s="69">
        <v>90.1</v>
      </c>
      <c r="E57" s="70">
        <f t="shared" si="9"/>
        <v>321</v>
      </c>
      <c r="F57" s="70">
        <v>73.7</v>
      </c>
      <c r="G57" s="70">
        <v>-19</v>
      </c>
      <c r="H57" s="71">
        <f t="shared" si="10"/>
        <v>54.7</v>
      </c>
      <c r="I57" s="70">
        <f t="shared" si="11"/>
        <v>-266.3</v>
      </c>
      <c r="J57" s="70">
        <f t="shared" si="7"/>
        <v>-82.9595015576324</v>
      </c>
      <c r="K57" s="31"/>
    </row>
    <row r="58" spans="1:10" ht="12.75">
      <c r="A58" s="12">
        <v>16</v>
      </c>
      <c r="B58" s="68" t="s">
        <v>63</v>
      </c>
      <c r="C58" s="69">
        <v>188.2</v>
      </c>
      <c r="D58" s="69">
        <v>63.5</v>
      </c>
      <c r="E58" s="70">
        <f t="shared" si="9"/>
        <v>251.7</v>
      </c>
      <c r="F58" s="70">
        <v>157</v>
      </c>
      <c r="G58" s="70">
        <f>10.8+24.6</f>
        <v>35.400000000000006</v>
      </c>
      <c r="H58" s="71">
        <f t="shared" si="10"/>
        <v>192.4</v>
      </c>
      <c r="I58" s="70">
        <f t="shared" si="11"/>
        <v>-59.29999999999998</v>
      </c>
      <c r="J58" s="70">
        <f t="shared" si="7"/>
        <v>-23.559793404847035</v>
      </c>
    </row>
    <row r="59" spans="1:10" ht="12.75">
      <c r="A59" s="67">
        <v>17</v>
      </c>
      <c r="B59" s="68" t="s">
        <v>64</v>
      </c>
      <c r="C59" s="69">
        <v>108</v>
      </c>
      <c r="D59" s="69">
        <v>36</v>
      </c>
      <c r="E59" s="70">
        <f t="shared" si="9"/>
        <v>144</v>
      </c>
      <c r="F59" s="70">
        <v>138</v>
      </c>
      <c r="G59" s="70">
        <v>87.5</v>
      </c>
      <c r="H59" s="71">
        <f t="shared" si="10"/>
        <v>225.5</v>
      </c>
      <c r="I59" s="70">
        <f t="shared" si="11"/>
        <v>81.5</v>
      </c>
      <c r="J59" s="70">
        <f t="shared" si="7"/>
        <v>56.59722222222222</v>
      </c>
    </row>
    <row r="60" spans="1:10" ht="12.75">
      <c r="A60" s="67">
        <v>18</v>
      </c>
      <c r="B60" s="68" t="s">
        <v>65</v>
      </c>
      <c r="C60" s="69">
        <v>132.3</v>
      </c>
      <c r="D60" s="69">
        <v>35.8</v>
      </c>
      <c r="E60" s="70">
        <f t="shared" si="9"/>
        <v>168.10000000000002</v>
      </c>
      <c r="F60" s="70">
        <v>86.6</v>
      </c>
      <c r="G60" s="70">
        <v>0</v>
      </c>
      <c r="H60" s="71">
        <f t="shared" si="10"/>
        <v>86.6</v>
      </c>
      <c r="I60" s="70">
        <f t="shared" si="11"/>
        <v>-81.50000000000003</v>
      </c>
      <c r="J60" s="70">
        <f t="shared" si="7"/>
        <v>-48.48304580606783</v>
      </c>
    </row>
    <row r="61" spans="1:10" ht="12.75">
      <c r="A61" s="12">
        <v>19</v>
      </c>
      <c r="B61" s="57" t="s">
        <v>66</v>
      </c>
      <c r="C61" s="69">
        <v>68.1</v>
      </c>
      <c r="D61" s="69">
        <v>22.2</v>
      </c>
      <c r="E61" s="70">
        <f t="shared" si="9"/>
        <v>90.3</v>
      </c>
      <c r="F61" s="70">
        <v>44.1</v>
      </c>
      <c r="G61" s="70">
        <f>2.1+8.9</f>
        <v>11</v>
      </c>
      <c r="H61" s="71">
        <f t="shared" si="10"/>
        <v>55.1</v>
      </c>
      <c r="I61" s="70">
        <f t="shared" si="11"/>
        <v>-35.199999999999996</v>
      </c>
      <c r="J61" s="70">
        <f t="shared" si="7"/>
        <v>-38.98117386489479</v>
      </c>
    </row>
    <row r="62" spans="1:10" ht="12.75">
      <c r="A62" s="12">
        <v>20</v>
      </c>
      <c r="B62" s="57" t="s">
        <v>67</v>
      </c>
      <c r="C62" s="69">
        <v>30.9</v>
      </c>
      <c r="D62" s="69">
        <v>44</v>
      </c>
      <c r="E62" s="70">
        <f t="shared" si="9"/>
        <v>74.9</v>
      </c>
      <c r="F62" s="70">
        <v>44.1</v>
      </c>
      <c r="G62" s="70">
        <f>9.5</f>
        <v>9.5</v>
      </c>
      <c r="H62" s="71">
        <f t="shared" si="10"/>
        <v>53.6</v>
      </c>
      <c r="I62" s="70">
        <f t="shared" si="11"/>
        <v>-21.300000000000004</v>
      </c>
      <c r="J62" s="70">
        <f t="shared" si="7"/>
        <v>-28.437917222963954</v>
      </c>
    </row>
    <row r="63" spans="1:10" ht="12.75">
      <c r="A63" s="12">
        <v>21</v>
      </c>
      <c r="B63" s="57" t="s">
        <v>68</v>
      </c>
      <c r="C63" s="69">
        <v>566.4</v>
      </c>
      <c r="D63" s="69">
        <v>49.3</v>
      </c>
      <c r="E63" s="70">
        <f t="shared" si="9"/>
        <v>615.6999999999999</v>
      </c>
      <c r="F63" s="70">
        <v>590.2</v>
      </c>
      <c r="G63" s="70">
        <f>45.5</f>
        <v>45.5</v>
      </c>
      <c r="H63" s="71">
        <f t="shared" si="10"/>
        <v>635.7</v>
      </c>
      <c r="I63" s="70">
        <f t="shared" si="11"/>
        <v>20.000000000000114</v>
      </c>
      <c r="J63" s="70">
        <f t="shared" si="7"/>
        <v>3.2483352281955686</v>
      </c>
    </row>
    <row r="64" spans="1:11" ht="41.25" customHeight="1">
      <c r="A64" s="12">
        <v>22</v>
      </c>
      <c r="B64" s="57" t="s">
        <v>69</v>
      </c>
      <c r="C64" s="69">
        <v>747.6</v>
      </c>
      <c r="D64" s="69">
        <v>-156.9</v>
      </c>
      <c r="E64" s="70">
        <f t="shared" si="9"/>
        <v>590.7</v>
      </c>
      <c r="F64" s="70">
        <v>652.3</v>
      </c>
      <c r="G64" s="70">
        <f>50.7+5.6-125.2</f>
        <v>-68.9</v>
      </c>
      <c r="H64" s="71">
        <f t="shared" si="10"/>
        <v>583.4</v>
      </c>
      <c r="I64" s="70">
        <f t="shared" si="11"/>
        <v>-7.300000000000068</v>
      </c>
      <c r="J64" s="70">
        <f t="shared" si="7"/>
        <v>-1.2358219062129792</v>
      </c>
      <c r="K64" s="30"/>
    </row>
    <row r="65" spans="1:14" ht="42.75" customHeight="1">
      <c r="A65" s="12">
        <v>23</v>
      </c>
      <c r="B65" s="57" t="s">
        <v>70</v>
      </c>
      <c r="C65" s="69">
        <v>6.6</v>
      </c>
      <c r="D65" s="69">
        <v>0</v>
      </c>
      <c r="E65" s="70">
        <f t="shared" si="9"/>
        <v>6.6</v>
      </c>
      <c r="F65" s="70">
        <v>0</v>
      </c>
      <c r="G65" s="70">
        <v>0</v>
      </c>
      <c r="H65" s="71">
        <f t="shared" si="10"/>
        <v>0</v>
      </c>
      <c r="I65" s="70">
        <f t="shared" si="11"/>
        <v>-6.6</v>
      </c>
      <c r="J65" s="70">
        <f t="shared" si="7"/>
        <v>-100</v>
      </c>
      <c r="N65" s="74"/>
    </row>
    <row r="66" spans="1:10" ht="12.75">
      <c r="A66" s="12">
        <v>24</v>
      </c>
      <c r="B66" s="57" t="s">
        <v>71</v>
      </c>
      <c r="C66" s="58">
        <f aca="true" t="shared" si="12" ref="C66:I66">SUM(C67:C77)</f>
        <v>501.1</v>
      </c>
      <c r="D66" s="58">
        <f t="shared" si="12"/>
        <v>316.5</v>
      </c>
      <c r="E66" s="52">
        <f t="shared" si="12"/>
        <v>817.5999999999999</v>
      </c>
      <c r="F66" s="52">
        <f t="shared" si="12"/>
        <v>654.4</v>
      </c>
      <c r="G66" s="52">
        <f t="shared" si="12"/>
        <v>671.4</v>
      </c>
      <c r="H66" s="56">
        <f t="shared" si="12"/>
        <v>1325.8</v>
      </c>
      <c r="I66" s="56">
        <f t="shared" si="12"/>
        <v>508.19999999999993</v>
      </c>
      <c r="J66" s="70">
        <f t="shared" si="7"/>
        <v>62.15753424657534</v>
      </c>
    </row>
    <row r="67" spans="1:15" ht="24" customHeight="1">
      <c r="A67" s="12"/>
      <c r="B67" s="59" t="s">
        <v>72</v>
      </c>
      <c r="C67" s="75">
        <v>0</v>
      </c>
      <c r="D67" s="60">
        <v>105.3</v>
      </c>
      <c r="E67" s="25">
        <f>SUM(C67:D67)</f>
        <v>105.3</v>
      </c>
      <c r="F67" s="76">
        <v>0</v>
      </c>
      <c r="G67" s="25">
        <f>1.6+28.3+13.5+28.8+27.8+7.7</f>
        <v>107.7</v>
      </c>
      <c r="H67" s="27">
        <f>SUM(F67:G67)</f>
        <v>107.7</v>
      </c>
      <c r="I67" s="25">
        <f>H67-E67</f>
        <v>2.4000000000000057</v>
      </c>
      <c r="J67" s="25">
        <f t="shared" si="7"/>
        <v>2.2792022792022846</v>
      </c>
      <c r="K67" s="30"/>
      <c r="L67" s="72"/>
      <c r="M67" s="72"/>
      <c r="N67" s="72"/>
      <c r="O67" s="72"/>
    </row>
    <row r="68" spans="1:10" ht="12.75">
      <c r="A68" s="12"/>
      <c r="B68" s="59" t="s">
        <v>73</v>
      </c>
      <c r="C68" s="77">
        <v>22.9</v>
      </c>
      <c r="D68" s="60">
        <v>8.2</v>
      </c>
      <c r="E68" s="25">
        <f aca="true" t="shared" si="13" ref="E68:E77">SUM(C68:D68)</f>
        <v>31.099999999999998</v>
      </c>
      <c r="F68" s="25">
        <v>50.5</v>
      </c>
      <c r="G68" s="25">
        <f>14.3</f>
        <v>14.3</v>
      </c>
      <c r="H68" s="27">
        <f aca="true" t="shared" si="14" ref="H68:H77">SUM(F68:G68)</f>
        <v>64.8</v>
      </c>
      <c r="I68" s="25">
        <f aca="true" t="shared" si="15" ref="I68:I77">H68-E68</f>
        <v>33.7</v>
      </c>
      <c r="J68" s="25">
        <f t="shared" si="7"/>
        <v>108.36012861736337</v>
      </c>
    </row>
    <row r="69" spans="1:11" ht="12.75">
      <c r="A69" s="12"/>
      <c r="B69" s="59" t="s">
        <v>74</v>
      </c>
      <c r="C69" s="77">
        <v>63.6</v>
      </c>
      <c r="D69" s="60">
        <v>65.9</v>
      </c>
      <c r="E69" s="25">
        <f t="shared" si="13"/>
        <v>129.5</v>
      </c>
      <c r="F69" s="25">
        <v>22.2</v>
      </c>
      <c r="G69" s="25">
        <v>10.3</v>
      </c>
      <c r="H69" s="27">
        <f t="shared" si="14"/>
        <v>32.5</v>
      </c>
      <c r="I69" s="25">
        <f t="shared" si="15"/>
        <v>-97</v>
      </c>
      <c r="J69" s="25">
        <f t="shared" si="7"/>
        <v>-74.9034749034749</v>
      </c>
      <c r="K69" s="30"/>
    </row>
    <row r="70" spans="1:10" ht="12.75">
      <c r="A70" s="12"/>
      <c r="B70" s="59" t="s">
        <v>75</v>
      </c>
      <c r="C70" s="77">
        <v>9.6</v>
      </c>
      <c r="D70" s="60">
        <v>3.4</v>
      </c>
      <c r="E70" s="25">
        <f t="shared" si="13"/>
        <v>13</v>
      </c>
      <c r="F70" s="25">
        <v>9.6</v>
      </c>
      <c r="G70" s="25">
        <v>3.2</v>
      </c>
      <c r="H70" s="27">
        <f t="shared" si="14"/>
        <v>12.8</v>
      </c>
      <c r="I70" s="25">
        <f t="shared" si="15"/>
        <v>-0.1999999999999993</v>
      </c>
      <c r="J70" s="25">
        <f t="shared" si="7"/>
        <v>-1.538461538461533</v>
      </c>
    </row>
    <row r="71" spans="1:11" ht="12.75">
      <c r="A71" s="12"/>
      <c r="B71" s="59" t="s">
        <v>76</v>
      </c>
      <c r="C71" s="77">
        <v>22.5</v>
      </c>
      <c r="D71" s="60">
        <v>5.3</v>
      </c>
      <c r="E71" s="25">
        <f t="shared" si="13"/>
        <v>27.8</v>
      </c>
      <c r="F71" s="25">
        <v>16.3</v>
      </c>
      <c r="G71" s="25">
        <f>5.3+7.2</f>
        <v>12.5</v>
      </c>
      <c r="H71" s="27">
        <f t="shared" si="14"/>
        <v>28.8</v>
      </c>
      <c r="I71" s="25">
        <f t="shared" si="15"/>
        <v>1</v>
      </c>
      <c r="J71" s="25">
        <f t="shared" si="7"/>
        <v>3.597122302158273</v>
      </c>
      <c r="K71" s="30"/>
    </row>
    <row r="72" spans="1:10" ht="12.75">
      <c r="A72" s="12"/>
      <c r="B72" s="59" t="s">
        <v>77</v>
      </c>
      <c r="C72" s="77">
        <v>0</v>
      </c>
      <c r="D72" s="60">
        <v>6.7</v>
      </c>
      <c r="E72" s="25">
        <f t="shared" si="13"/>
        <v>6.7</v>
      </c>
      <c r="F72" s="25">
        <v>26.4</v>
      </c>
      <c r="G72" s="25">
        <v>0</v>
      </c>
      <c r="H72" s="27">
        <f t="shared" si="14"/>
        <v>26.4</v>
      </c>
      <c r="I72" s="25">
        <f t="shared" si="15"/>
        <v>19.7</v>
      </c>
      <c r="J72" s="25">
        <f t="shared" si="7"/>
        <v>294.02985074626866</v>
      </c>
    </row>
    <row r="73" spans="1:10" ht="12.75">
      <c r="A73" s="12"/>
      <c r="B73" s="59" t="s">
        <v>78</v>
      </c>
      <c r="C73" s="77">
        <v>1.8</v>
      </c>
      <c r="D73" s="60">
        <v>1.7</v>
      </c>
      <c r="E73" s="25">
        <f t="shared" si="13"/>
        <v>3.5</v>
      </c>
      <c r="F73" s="25">
        <v>1.8</v>
      </c>
      <c r="G73" s="25">
        <v>0.6</v>
      </c>
      <c r="H73" s="27">
        <f t="shared" si="14"/>
        <v>2.4</v>
      </c>
      <c r="I73" s="25">
        <f t="shared" si="15"/>
        <v>-1.1</v>
      </c>
      <c r="J73" s="25">
        <f t="shared" si="7"/>
        <v>-31.428571428571434</v>
      </c>
    </row>
    <row r="74" spans="1:11" ht="12.75">
      <c r="A74" s="12"/>
      <c r="B74" s="59" t="s">
        <v>79</v>
      </c>
      <c r="C74" s="77">
        <v>51.3</v>
      </c>
      <c r="D74" s="60">
        <v>8.2</v>
      </c>
      <c r="E74" s="25">
        <f t="shared" si="13"/>
        <v>59.5</v>
      </c>
      <c r="F74" s="25">
        <v>43.5</v>
      </c>
      <c r="G74" s="25">
        <v>0</v>
      </c>
      <c r="H74" s="27">
        <f t="shared" si="14"/>
        <v>43.5</v>
      </c>
      <c r="I74" s="25">
        <f t="shared" si="15"/>
        <v>-16</v>
      </c>
      <c r="J74" s="25">
        <f t="shared" si="7"/>
        <v>-26.89075630252101</v>
      </c>
      <c r="K74" s="30"/>
    </row>
    <row r="75" spans="1:11" ht="12.75">
      <c r="A75" s="12"/>
      <c r="B75" s="59" t="s">
        <v>80</v>
      </c>
      <c r="C75" s="77">
        <v>0</v>
      </c>
      <c r="D75" s="60">
        <v>0</v>
      </c>
      <c r="E75" s="25">
        <f t="shared" si="13"/>
        <v>0</v>
      </c>
      <c r="F75" s="25">
        <v>126</v>
      </c>
      <c r="G75" s="25">
        <v>0</v>
      </c>
      <c r="H75" s="27">
        <f t="shared" si="14"/>
        <v>126</v>
      </c>
      <c r="I75" s="25">
        <f t="shared" si="15"/>
        <v>126</v>
      </c>
      <c r="J75" s="25"/>
      <c r="K75" s="78"/>
    </row>
    <row r="76" spans="1:10" ht="12.75">
      <c r="A76" s="12"/>
      <c r="B76" s="59" t="s">
        <v>81</v>
      </c>
      <c r="C76" s="77">
        <v>151.9</v>
      </c>
      <c r="D76" s="60">
        <v>59.8</v>
      </c>
      <c r="E76" s="25">
        <f t="shared" si="13"/>
        <v>211.7</v>
      </c>
      <c r="F76" s="25">
        <v>316</v>
      </c>
      <c r="G76" s="25">
        <v>207.5</v>
      </c>
      <c r="H76" s="27">
        <f t="shared" si="14"/>
        <v>523.5</v>
      </c>
      <c r="I76" s="25">
        <f t="shared" si="15"/>
        <v>311.8</v>
      </c>
      <c r="J76" s="25">
        <f>I76/E76*100</f>
        <v>147.28389230042512</v>
      </c>
    </row>
    <row r="77" spans="1:10" ht="12.75">
      <c r="A77" s="12"/>
      <c r="B77" s="59" t="s">
        <v>82</v>
      </c>
      <c r="C77" s="77">
        <v>177.5</v>
      </c>
      <c r="D77" s="60">
        <v>52</v>
      </c>
      <c r="E77" s="25">
        <f t="shared" si="13"/>
        <v>229.5</v>
      </c>
      <c r="F77" s="25">
        <f>40.3+1.8</f>
        <v>42.099999999999994</v>
      </c>
      <c r="G77" s="25">
        <f>314.4+0.9</f>
        <v>315.29999999999995</v>
      </c>
      <c r="H77" s="27">
        <f t="shared" si="14"/>
        <v>357.4</v>
      </c>
      <c r="I77" s="25">
        <f t="shared" si="15"/>
        <v>127.89999999999998</v>
      </c>
      <c r="J77" s="25">
        <f>I77/E77*100</f>
        <v>55.72984749455336</v>
      </c>
    </row>
    <row r="78" spans="1:11" ht="18.75" customHeight="1">
      <c r="A78" s="79" t="s">
        <v>83</v>
      </c>
      <c r="B78" s="79"/>
      <c r="C78" s="34">
        <f>C38+C40+C41+C42+C43+C48+C49+C50+C51+C52+C53+C54+C55+C56+C57+C58+C59+C60+C61+C62+C63+C64+C65+C66</f>
        <v>20738.8</v>
      </c>
      <c r="D78" s="34">
        <f>D38+D40+D41+D42+D43+D48+D49+D50+D51+D52+D53+D54+D55+D56+D57+D58+D59+D60+D61+D62+D63+D64+D65+D66</f>
        <v>7560.000000000002</v>
      </c>
      <c r="E78" s="37">
        <f>E38+E40+E41+E42+E43+E48+E49+E50+E51+E52+E53+E54+E55+E56+E57+E58+E59+E60+E61+E62+E63+E64+E65+E66</f>
        <v>28298.8</v>
      </c>
      <c r="F78" s="37">
        <f>F38+F40+F41+F42+F48+F49+F50+F51+F52+F53+F54+F55+F56+F57+F58+F59+F60+F61+F62+F63+F64+F65+F66+F43</f>
        <v>18077.000000000004</v>
      </c>
      <c r="G78" s="37">
        <f>G38+G40+G41+G42+G48+G49+G50+G51+G52+G53+G54+G55+G56+G57+G58+G59+G60+G61+G62+G63+G64+G65+G66+G43</f>
        <v>6772.199999999999</v>
      </c>
      <c r="H78" s="36">
        <f>H38+H40+H41+H42+H48+H49+H50+H51+H52+H53+H54+H55+H56+H57+H58+H59+H60+H61+H62+H63+H64+H65+H66+H43</f>
        <v>24849.199999999997</v>
      </c>
      <c r="I78" s="36">
        <f>I38+I40+I41+I42+I48+I49+I50+I51+I52+I53+I54+I55+I56+I57+I58+I59+I60+I61+I62+I63+I64+I65+I66+I43</f>
        <v>-3449.600000000001</v>
      </c>
      <c r="J78" s="37">
        <f>I78/E78*100</f>
        <v>-12.18991618019139</v>
      </c>
      <c r="K78" s="21"/>
    </row>
    <row r="79" spans="1:10" ht="12.75">
      <c r="A79" s="12">
        <v>1</v>
      </c>
      <c r="B79" s="57" t="s">
        <v>84</v>
      </c>
      <c r="C79" s="54">
        <v>13.4</v>
      </c>
      <c r="D79" s="54">
        <v>-1.5</v>
      </c>
      <c r="E79" s="55">
        <f>SUM(C79:D79)</f>
        <v>11.9</v>
      </c>
      <c r="F79" s="55">
        <v>11.3</v>
      </c>
      <c r="G79" s="55">
        <f>-1.7+2.5</f>
        <v>0.8</v>
      </c>
      <c r="H79" s="80">
        <f>SUM(F79:G79)</f>
        <v>12.100000000000001</v>
      </c>
      <c r="I79" s="70">
        <f>H79-F79</f>
        <v>0.8000000000000007</v>
      </c>
      <c r="J79" s="52">
        <f>I79/E79*100</f>
        <v>6.7226890756302575</v>
      </c>
    </row>
    <row r="80" spans="1:10" ht="12.75">
      <c r="A80" s="12">
        <v>2</v>
      </c>
      <c r="B80" s="57" t="s">
        <v>85</v>
      </c>
      <c r="C80" s="54">
        <v>0</v>
      </c>
      <c r="D80" s="58">
        <v>0</v>
      </c>
      <c r="E80" s="55">
        <f>SUM(C80:D80)</f>
        <v>0</v>
      </c>
      <c r="F80" s="55">
        <v>364.8</v>
      </c>
      <c r="G80" s="55">
        <v>46.4</v>
      </c>
      <c r="H80" s="80">
        <f>SUM(F80:G80)</f>
        <v>411.2</v>
      </c>
      <c r="I80" s="70">
        <f>H80-F80</f>
        <v>46.39999999999998</v>
      </c>
      <c r="J80" s="52"/>
    </row>
    <row r="81" spans="1:10" ht="12.75">
      <c r="A81" s="12">
        <v>3</v>
      </c>
      <c r="B81" s="57" t="s">
        <v>86</v>
      </c>
      <c r="C81" s="54">
        <v>169.8</v>
      </c>
      <c r="D81" s="54">
        <v>55.8</v>
      </c>
      <c r="E81" s="55">
        <f>SUM(C81:D81)</f>
        <v>225.60000000000002</v>
      </c>
      <c r="F81" s="55">
        <v>184.3</v>
      </c>
      <c r="G81" s="55">
        <v>48.5</v>
      </c>
      <c r="H81" s="80">
        <f>SUM(F81:G81)</f>
        <v>232.8</v>
      </c>
      <c r="I81" s="70">
        <f>H81-F81</f>
        <v>48.5</v>
      </c>
      <c r="J81" s="52">
        <f>I81/E81*100</f>
        <v>21.498226950354606</v>
      </c>
    </row>
    <row r="82" spans="1:10" ht="18.75" customHeight="1">
      <c r="A82" s="79" t="s">
        <v>87</v>
      </c>
      <c r="B82" s="79"/>
      <c r="C82" s="34">
        <f aca="true" t="shared" si="16" ref="C82:I82">SUM(C79:C81)</f>
        <v>183.20000000000002</v>
      </c>
      <c r="D82" s="34">
        <f t="shared" si="16"/>
        <v>54.3</v>
      </c>
      <c r="E82" s="37">
        <f t="shared" si="16"/>
        <v>237.50000000000003</v>
      </c>
      <c r="F82" s="37">
        <f t="shared" si="16"/>
        <v>560.4</v>
      </c>
      <c r="G82" s="37">
        <f t="shared" si="16"/>
        <v>95.7</v>
      </c>
      <c r="H82" s="36">
        <f t="shared" si="16"/>
        <v>656.1</v>
      </c>
      <c r="I82" s="36">
        <f t="shared" si="16"/>
        <v>95.69999999999997</v>
      </c>
      <c r="J82" s="37">
        <f>I83/E83*100</f>
        <v>-10.621559207045076</v>
      </c>
    </row>
    <row r="83" spans="1:10" ht="27" customHeight="1">
      <c r="A83" s="81" t="s">
        <v>88</v>
      </c>
      <c r="B83" s="81"/>
      <c r="C83" s="82">
        <f aca="true" t="shared" si="17" ref="C83:H83">C78+C82</f>
        <v>20922</v>
      </c>
      <c r="D83" s="82">
        <f t="shared" si="17"/>
        <v>7614.300000000002</v>
      </c>
      <c r="E83" s="83">
        <f t="shared" si="17"/>
        <v>28536.3</v>
      </c>
      <c r="F83" s="83">
        <f t="shared" si="17"/>
        <v>18637.400000000005</v>
      </c>
      <c r="G83" s="83">
        <f t="shared" si="17"/>
        <v>6867.899999999999</v>
      </c>
      <c r="H83" s="84">
        <f t="shared" si="17"/>
        <v>25505.299999999996</v>
      </c>
      <c r="I83" s="83">
        <f>H83-E83</f>
        <v>-3031.0000000000036</v>
      </c>
      <c r="J83" s="83">
        <f>I83/E83*100</f>
        <v>-10.621559207045076</v>
      </c>
    </row>
    <row r="84" spans="1:10" ht="41.25" customHeight="1">
      <c r="A84" s="85" t="s">
        <v>89</v>
      </c>
      <c r="B84" s="85"/>
      <c r="C84" s="86">
        <f aca="true" t="shared" si="18" ref="C84:I84">C35-C83</f>
        <v>-903.7000000000044</v>
      </c>
      <c r="D84" s="86">
        <f t="shared" si="18"/>
        <v>1985.6999999999998</v>
      </c>
      <c r="E84" s="87">
        <f t="shared" si="18"/>
        <v>1082</v>
      </c>
      <c r="F84" s="87">
        <f t="shared" si="18"/>
        <v>2017.9999999999964</v>
      </c>
      <c r="G84" s="87">
        <f t="shared" si="18"/>
        <v>2311.3</v>
      </c>
      <c r="H84" s="88">
        <f t="shared" si="18"/>
        <v>4329.300000000007</v>
      </c>
      <c r="I84" s="88">
        <f t="shared" si="18"/>
        <v>3247.3000000000034</v>
      </c>
      <c r="J84" s="87">
        <f>I84/E84*100</f>
        <v>300.1201478743071</v>
      </c>
    </row>
    <row r="85" spans="5:10" ht="12.75">
      <c r="E85" s="89"/>
      <c r="F85" s="89"/>
      <c r="G85" s="89"/>
      <c r="H85" s="89"/>
      <c r="I85" s="89"/>
      <c r="J85" s="89"/>
    </row>
    <row r="86" spans="1:10" ht="18.75" customHeight="1">
      <c r="A86" s="90"/>
      <c r="B86" s="90"/>
      <c r="E86" s="89"/>
      <c r="F86" s="89"/>
      <c r="G86" s="89"/>
      <c r="H86" s="89"/>
      <c r="I86" s="89"/>
      <c r="J86" s="89"/>
    </row>
    <row r="87" spans="5:10" ht="12.75">
      <c r="E87" s="89"/>
      <c r="F87" s="89"/>
      <c r="G87" s="89"/>
      <c r="H87" s="89"/>
      <c r="I87" s="89"/>
      <c r="J87" s="89"/>
    </row>
    <row r="88" spans="5:10" ht="12.75">
      <c r="E88" s="89"/>
      <c r="F88" s="89"/>
      <c r="G88" s="89"/>
      <c r="H88" s="89"/>
      <c r="I88" s="89"/>
      <c r="J88" s="89"/>
    </row>
    <row r="89" spans="5:10" ht="12.75">
      <c r="E89" s="89"/>
      <c r="F89" s="89"/>
      <c r="G89" s="89"/>
      <c r="H89" s="89"/>
      <c r="I89" s="89"/>
      <c r="J89" s="89"/>
    </row>
    <row r="90" spans="5:10" ht="12.75">
      <c r="E90" s="89"/>
      <c r="F90" s="89"/>
      <c r="G90" s="89"/>
      <c r="H90" s="89"/>
      <c r="I90" s="89"/>
      <c r="J90" s="89"/>
    </row>
    <row r="91" spans="5:10" ht="12.75">
      <c r="E91" s="89"/>
      <c r="F91" s="89"/>
      <c r="G91" s="89"/>
      <c r="H91" s="89"/>
      <c r="I91" s="89"/>
      <c r="J91" s="89"/>
    </row>
    <row r="92" spans="5:10" ht="12.75">
      <c r="E92" s="89"/>
      <c r="F92" s="89"/>
      <c r="G92" s="89"/>
      <c r="H92" s="89"/>
      <c r="I92" s="89"/>
      <c r="J92" s="89"/>
    </row>
    <row r="93" spans="5:10" ht="12.75">
      <c r="E93" s="89"/>
      <c r="F93" s="89"/>
      <c r="G93" s="89"/>
      <c r="H93" s="89"/>
      <c r="I93" s="89"/>
      <c r="J93" s="89"/>
    </row>
    <row r="94" spans="5:10" ht="12.75">
      <c r="E94" s="89"/>
      <c r="F94" s="89"/>
      <c r="G94" s="89"/>
      <c r="H94" s="89"/>
      <c r="I94" s="89"/>
      <c r="J94" s="89"/>
    </row>
    <row r="95" spans="5:10" ht="12.75">
      <c r="E95" s="89"/>
      <c r="F95" s="89"/>
      <c r="G95" s="89"/>
      <c r="H95" s="89"/>
      <c r="I95" s="89"/>
      <c r="J95" s="89"/>
    </row>
    <row r="96" spans="5:10" ht="12.75">
      <c r="E96" s="89"/>
      <c r="F96" s="89"/>
      <c r="G96" s="89"/>
      <c r="H96" s="89"/>
      <c r="I96" s="89"/>
      <c r="J96" s="89"/>
    </row>
    <row r="97" spans="5:10" ht="12.75">
      <c r="E97" s="89"/>
      <c r="F97" s="89"/>
      <c r="G97" s="89"/>
      <c r="H97" s="89"/>
      <c r="I97" s="89"/>
      <c r="J97" s="89"/>
    </row>
    <row r="98" spans="5:10" ht="12.75">
      <c r="E98" s="89"/>
      <c r="F98" s="89"/>
      <c r="G98" s="89"/>
      <c r="H98" s="89"/>
      <c r="I98" s="89"/>
      <c r="J98" s="89"/>
    </row>
    <row r="99" spans="5:10" ht="12.75">
      <c r="E99" s="89"/>
      <c r="F99" s="89"/>
      <c r="G99" s="89"/>
      <c r="H99" s="89"/>
      <c r="I99" s="89"/>
      <c r="J99" s="89"/>
    </row>
    <row r="100" spans="5:10" ht="12.75">
      <c r="E100" s="89"/>
      <c r="F100" s="89"/>
      <c r="G100" s="89"/>
      <c r="H100" s="89"/>
      <c r="I100" s="89"/>
      <c r="J100" s="89"/>
    </row>
    <row r="101" spans="5:10" ht="12.75">
      <c r="E101" s="89"/>
      <c r="F101" s="89"/>
      <c r="G101" s="89"/>
      <c r="H101" s="89"/>
      <c r="I101" s="89"/>
      <c r="J101" s="89"/>
    </row>
    <row r="151" spans="3:8" ht="12.75">
      <c r="C151" s="91"/>
      <c r="D151" s="91"/>
      <c r="E151" s="91"/>
      <c r="F151" s="91"/>
      <c r="G151" s="91"/>
      <c r="H151" s="91"/>
    </row>
  </sheetData>
  <sheetProtection selectLockedCells="1" selectUnlockedCells="1"/>
  <mergeCells count="12">
    <mergeCell ref="I1:J1"/>
    <mergeCell ref="A3:J3"/>
    <mergeCell ref="A29:B29"/>
    <mergeCell ref="A34:B34"/>
    <mergeCell ref="A35:B35"/>
    <mergeCell ref="L53:N53"/>
    <mergeCell ref="L56:N56"/>
    <mergeCell ref="A78:B78"/>
    <mergeCell ref="A82:B82"/>
    <mergeCell ref="A83:B83"/>
    <mergeCell ref="A84:B84"/>
    <mergeCell ref="A86:B86"/>
  </mergeCells>
  <printOptions horizontalCentered="1"/>
  <pageMargins left="0.2" right="0" top="0.45" bottom="0.35" header="0.5118055555555555" footer="0.5118055555555555"/>
  <pageSetup horizontalDpi="300" verticalDpi="300" orientation="portrait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Admin_2</cp:lastModifiedBy>
  <cp:lastPrinted>2020-05-25T20:40:38Z</cp:lastPrinted>
  <dcterms:created xsi:type="dcterms:W3CDTF">2012-11-13T07:53:43Z</dcterms:created>
  <dcterms:modified xsi:type="dcterms:W3CDTF">2020-06-04T08:11:52Z</dcterms:modified>
  <cp:category/>
  <cp:version/>
  <cp:contentType/>
  <cp:contentStatus/>
</cp:coreProperties>
</file>